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24900" tabRatio="737"/>
  </bookViews>
  <sheets>
    <sheet name="Template" sheetId="13" r:id="rId1"/>
    <sheet name="Example_Template_1" sheetId="11" r:id="rId2"/>
    <sheet name="Example_Template_2" sheetId="12" r:id="rId3"/>
    <sheet name="texture" sheetId="6" r:id="rId4"/>
    <sheet name="kcb" sheetId="8" r:id="rId5"/>
    <sheet name="1-fc" sheetId="4" r:id="rId6"/>
    <sheet name="fw" sheetId="5" r:id="rId7"/>
    <sheet name="region" sheetId="10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3" l="1"/>
  <c r="AF10" i="13" s="1"/>
  <c r="AH10" i="13" s="1"/>
  <c r="B23" i="13"/>
  <c r="AG3" i="13" s="1"/>
  <c r="B19" i="13"/>
  <c r="B18" i="13"/>
  <c r="B22" i="13" s="1"/>
  <c r="Z12" i="13"/>
  <c r="AC12" i="13" s="1"/>
  <c r="W12" i="13"/>
  <c r="O12" i="13"/>
  <c r="Z11" i="13"/>
  <c r="O11" i="13"/>
  <c r="Z10" i="13"/>
  <c r="O10" i="13"/>
  <c r="Z9" i="13"/>
  <c r="AC9" i="13" s="1"/>
  <c r="O9" i="13"/>
  <c r="Z8" i="13"/>
  <c r="AC8" i="13" s="1"/>
  <c r="O8" i="13"/>
  <c r="Z7" i="13"/>
  <c r="O7" i="13"/>
  <c r="Z6" i="13"/>
  <c r="O6" i="13"/>
  <c r="AB5" i="13"/>
  <c r="Z5" i="13"/>
  <c r="AC5" i="13" s="1"/>
  <c r="O5" i="13"/>
  <c r="AD4" i="13"/>
  <c r="Z4" i="13"/>
  <c r="AC4" i="13" s="1"/>
  <c r="O4" i="13"/>
  <c r="AB3" i="13"/>
  <c r="AB4" i="13" s="1"/>
  <c r="Z3" i="13"/>
  <c r="W3" i="13"/>
  <c r="O3" i="13"/>
  <c r="N3" i="13"/>
  <c r="N4" i="13" s="1"/>
  <c r="AF7" i="13" l="1"/>
  <c r="AH7" i="13" s="1"/>
  <c r="AF3" i="13"/>
  <c r="AH3" i="13" s="1"/>
  <c r="AF11" i="13"/>
  <c r="Q4" i="13"/>
  <c r="S4" i="13" s="1"/>
  <c r="N5" i="13"/>
  <c r="P4" i="13"/>
  <c r="AH11" i="13"/>
  <c r="W4" i="13"/>
  <c r="W5" i="13" s="1"/>
  <c r="AC10" i="13"/>
  <c r="Q3" i="13"/>
  <c r="T3" i="13" s="1"/>
  <c r="P3" i="13"/>
  <c r="AB6" i="13"/>
  <c r="AD5" i="13"/>
  <c r="AC6" i="13"/>
  <c r="X3" i="13"/>
  <c r="AE3" i="13" s="1"/>
  <c r="AF4" i="13"/>
  <c r="X12" i="13"/>
  <c r="AF12" i="13"/>
  <c r="AF5" i="13"/>
  <c r="AF9" i="13"/>
  <c r="B20" i="13"/>
  <c r="B21" i="13" s="1"/>
  <c r="AM2" i="13" s="1"/>
  <c r="AC3" i="13"/>
  <c r="AD3" i="13" s="1"/>
  <c r="AC7" i="13"/>
  <c r="AC11" i="13"/>
  <c r="AF8" i="13"/>
  <c r="AF6" i="13"/>
  <c r="B25" i="12"/>
  <c r="AF10" i="12" s="1"/>
  <c r="B23" i="12"/>
  <c r="AG3" i="12" s="1"/>
  <c r="B19" i="12"/>
  <c r="B18" i="12"/>
  <c r="AF12" i="12"/>
  <c r="AC12" i="12"/>
  <c r="Z12" i="12"/>
  <c r="W12" i="12"/>
  <c r="O12" i="12"/>
  <c r="AH11" i="12"/>
  <c r="AF11" i="12"/>
  <c r="Z11" i="12"/>
  <c r="O11" i="12"/>
  <c r="AC10" i="12"/>
  <c r="Z10" i="12"/>
  <c r="O10" i="12"/>
  <c r="AC9" i="12"/>
  <c r="Z9" i="12"/>
  <c r="O9" i="12"/>
  <c r="AF8" i="12"/>
  <c r="AC8" i="12"/>
  <c r="Z8" i="12"/>
  <c r="O8" i="12"/>
  <c r="AH7" i="12"/>
  <c r="AF7" i="12"/>
  <c r="Z7" i="12"/>
  <c r="O7" i="12"/>
  <c r="AH6" i="12"/>
  <c r="AF6" i="12"/>
  <c r="AC6" i="12"/>
  <c r="Z6" i="12"/>
  <c r="O6" i="12"/>
  <c r="AH5" i="12"/>
  <c r="AF5" i="12"/>
  <c r="AC5" i="12"/>
  <c r="Z5" i="12"/>
  <c r="O5" i="12"/>
  <c r="AF4" i="12"/>
  <c r="AC4" i="12"/>
  <c r="Z4" i="12"/>
  <c r="O4" i="12"/>
  <c r="AH3" i="12"/>
  <c r="AF3" i="12"/>
  <c r="AB3" i="12"/>
  <c r="AB4" i="12" s="1"/>
  <c r="Z3" i="12"/>
  <c r="W3" i="12"/>
  <c r="O3" i="12"/>
  <c r="N3" i="12"/>
  <c r="N4" i="12" s="1"/>
  <c r="W4" i="12" l="1"/>
  <c r="X4" i="12" s="1"/>
  <c r="X4" i="13"/>
  <c r="R4" i="13"/>
  <c r="U4" i="13" s="1"/>
  <c r="V4" i="13" s="1"/>
  <c r="T4" i="13"/>
  <c r="AI3" i="13"/>
  <c r="AJ3" i="13" s="1"/>
  <c r="X5" i="13"/>
  <c r="W6" i="13"/>
  <c r="R3" i="13"/>
  <c r="U3" i="13" s="1"/>
  <c r="V3" i="13" s="1"/>
  <c r="AH5" i="13"/>
  <c r="S3" i="13"/>
  <c r="AH6" i="13"/>
  <c r="AB7" i="13"/>
  <c r="AD6" i="13"/>
  <c r="AH8" i="13"/>
  <c r="AH12" i="13"/>
  <c r="AH4" i="13"/>
  <c r="Q5" i="13"/>
  <c r="N6" i="13"/>
  <c r="P5" i="13"/>
  <c r="AH9" i="13"/>
  <c r="AL3" i="13"/>
  <c r="AB5" i="12"/>
  <c r="AD4" i="12"/>
  <c r="Q4" i="12"/>
  <c r="S4" i="12" s="1"/>
  <c r="N5" i="12"/>
  <c r="P4" i="12"/>
  <c r="AH10" i="12"/>
  <c r="Q3" i="12"/>
  <c r="R3" i="12" s="1"/>
  <c r="AH4" i="12"/>
  <c r="AH8" i="12"/>
  <c r="AF9" i="12"/>
  <c r="AH12" i="12"/>
  <c r="B20" i="12"/>
  <c r="B21" i="12" s="1"/>
  <c r="AM2" i="12" s="1"/>
  <c r="AL3" i="12" s="1"/>
  <c r="X3" i="12"/>
  <c r="AE3" i="12" s="1"/>
  <c r="AC3" i="12"/>
  <c r="AD3" i="12" s="1"/>
  <c r="AI3" i="12" s="1"/>
  <c r="AJ3" i="12" s="1"/>
  <c r="AC7" i="12"/>
  <c r="AC11" i="12"/>
  <c r="P3" i="12"/>
  <c r="B22" i="12"/>
  <c r="X12" i="12"/>
  <c r="W5" i="12" l="1"/>
  <c r="AK3" i="13"/>
  <c r="AM3" i="13" s="1"/>
  <c r="Y4" i="13" s="1"/>
  <c r="N7" i="13"/>
  <c r="P6" i="13"/>
  <c r="Q6" i="13"/>
  <c r="T5" i="13"/>
  <c r="S5" i="13"/>
  <c r="R5" i="13"/>
  <c r="AB8" i="13"/>
  <c r="AD7" i="13"/>
  <c r="W7" i="13"/>
  <c r="X6" i="13"/>
  <c r="AB6" i="12"/>
  <c r="AD5" i="12"/>
  <c r="S3" i="12"/>
  <c r="U3" i="12" s="1"/>
  <c r="V3" i="12" s="1"/>
  <c r="AK3" i="12" s="1"/>
  <c r="AM3" i="12" s="1"/>
  <c r="T3" i="12"/>
  <c r="R4" i="12"/>
  <c r="U4" i="12" s="1"/>
  <c r="V4" i="12" s="1"/>
  <c r="T4" i="12"/>
  <c r="Q5" i="12"/>
  <c r="N6" i="12"/>
  <c r="P5" i="12"/>
  <c r="AH9" i="12"/>
  <c r="W6" i="12" l="1"/>
  <c r="X5" i="12"/>
  <c r="U5" i="13"/>
  <c r="V5" i="13" s="1"/>
  <c r="T6" i="13"/>
  <c r="S6" i="13"/>
  <c r="R6" i="13"/>
  <c r="Q7" i="13"/>
  <c r="P7" i="13"/>
  <c r="N8" i="13"/>
  <c r="AB9" i="13"/>
  <c r="AD8" i="13"/>
  <c r="X7" i="13"/>
  <c r="W8" i="13"/>
  <c r="AE4" i="13"/>
  <c r="AA4" i="13"/>
  <c r="AG4" i="13"/>
  <c r="AI4" i="13" s="1"/>
  <c r="AJ4" i="13" s="1"/>
  <c r="AK4" i="13" s="1"/>
  <c r="Y4" i="12"/>
  <c r="T5" i="12"/>
  <c r="S5" i="12"/>
  <c r="R5" i="12"/>
  <c r="U5" i="12" s="1"/>
  <c r="V5" i="12" s="1"/>
  <c r="Q6" i="12"/>
  <c r="N7" i="12"/>
  <c r="P6" i="12"/>
  <c r="AB7" i="12"/>
  <c r="AD6" i="12"/>
  <c r="W7" i="12" l="1"/>
  <c r="X6" i="12"/>
  <c r="U6" i="13"/>
  <c r="V6" i="13" s="1"/>
  <c r="AB10" i="13"/>
  <c r="AD9" i="13"/>
  <c r="R7" i="13"/>
  <c r="S7" i="13"/>
  <c r="T7" i="13"/>
  <c r="U7" i="13"/>
  <c r="V7" i="13" s="1"/>
  <c r="Q8" i="13"/>
  <c r="N9" i="13"/>
  <c r="P8" i="13"/>
  <c r="W9" i="13"/>
  <c r="X8" i="13"/>
  <c r="AL4" i="13"/>
  <c r="AM4" i="13" s="1"/>
  <c r="N8" i="12"/>
  <c r="P7" i="12"/>
  <c r="Q7" i="12"/>
  <c r="AB8" i="12"/>
  <c r="AD7" i="12"/>
  <c r="R6" i="12"/>
  <c r="U6" i="12" s="1"/>
  <c r="V6" i="12" s="1"/>
  <c r="S6" i="12"/>
  <c r="T6" i="12"/>
  <c r="AA4" i="12"/>
  <c r="AE4" i="12"/>
  <c r="AG4" i="12"/>
  <c r="AI4" i="12" s="1"/>
  <c r="AJ4" i="12" s="1"/>
  <c r="AK4" i="12" s="1"/>
  <c r="X7" i="12" l="1"/>
  <c r="W8" i="12"/>
  <c r="Y5" i="13"/>
  <c r="T8" i="13"/>
  <c r="R8" i="13"/>
  <c r="S8" i="13"/>
  <c r="X9" i="13"/>
  <c r="W10" i="13"/>
  <c r="Q9" i="13"/>
  <c r="N10" i="13"/>
  <c r="P9" i="13"/>
  <c r="AB11" i="13"/>
  <c r="AD10" i="13"/>
  <c r="AL4" i="12"/>
  <c r="AM4" i="12" s="1"/>
  <c r="AB9" i="12"/>
  <c r="AD8" i="12"/>
  <c r="S7" i="12"/>
  <c r="U7" i="12" s="1"/>
  <c r="V7" i="12" s="1"/>
  <c r="R7" i="12"/>
  <c r="T7" i="12"/>
  <c r="Q8" i="12"/>
  <c r="P8" i="12"/>
  <c r="N9" i="12"/>
  <c r="W9" i="12" l="1"/>
  <c r="X8" i="12"/>
  <c r="U8" i="13"/>
  <c r="V8" i="13" s="1"/>
  <c r="X10" i="13"/>
  <c r="W11" i="13"/>
  <c r="X11" i="13" s="1"/>
  <c r="AB12" i="13"/>
  <c r="AD12" i="13" s="1"/>
  <c r="AD11" i="13"/>
  <c r="T9" i="13"/>
  <c r="S9" i="13"/>
  <c r="R9" i="13"/>
  <c r="U9" i="13" s="1"/>
  <c r="V9" i="13" s="1"/>
  <c r="AE5" i="13"/>
  <c r="AG5" i="13"/>
  <c r="AI5" i="13" s="1"/>
  <c r="AJ5" i="13" s="1"/>
  <c r="AK5" i="13" s="1"/>
  <c r="AA5" i="13"/>
  <c r="N11" i="13"/>
  <c r="P10" i="13"/>
  <c r="Q10" i="13"/>
  <c r="Q9" i="12"/>
  <c r="N10" i="12"/>
  <c r="P9" i="12"/>
  <c r="AD9" i="12"/>
  <c r="AB10" i="12"/>
  <c r="Y5" i="12"/>
  <c r="T8" i="12"/>
  <c r="S8" i="12"/>
  <c r="R8" i="12"/>
  <c r="U8" i="12" s="1"/>
  <c r="V8" i="12" s="1"/>
  <c r="W10" i="12" l="1"/>
  <c r="X9" i="12"/>
  <c r="T10" i="13"/>
  <c r="S10" i="13"/>
  <c r="R10" i="13"/>
  <c r="Q11" i="13"/>
  <c r="P11" i="13"/>
  <c r="N12" i="13"/>
  <c r="AL5" i="13"/>
  <c r="AM5" i="13" s="1"/>
  <c r="AB11" i="12"/>
  <c r="AD10" i="12"/>
  <c r="Q10" i="12"/>
  <c r="N11" i="12"/>
  <c r="P10" i="12"/>
  <c r="U9" i="12"/>
  <c r="V9" i="12" s="1"/>
  <c r="AA5" i="12"/>
  <c r="AE5" i="12"/>
  <c r="AG5" i="12"/>
  <c r="AI5" i="12" s="1"/>
  <c r="AJ5" i="12" s="1"/>
  <c r="AK5" i="12" s="1"/>
  <c r="R9" i="12"/>
  <c r="S9" i="12"/>
  <c r="T9" i="12"/>
  <c r="W11" i="12" l="1"/>
  <c r="X11" i="12" s="1"/>
  <c r="X10" i="12"/>
  <c r="U10" i="13"/>
  <c r="V10" i="13" s="1"/>
  <c r="Y6" i="13"/>
  <c r="Q12" i="13"/>
  <c r="P12" i="13"/>
  <c r="S11" i="13"/>
  <c r="R11" i="13"/>
  <c r="T11" i="13"/>
  <c r="AL5" i="12"/>
  <c r="AM5" i="12" s="1"/>
  <c r="N12" i="12"/>
  <c r="P11" i="12"/>
  <c r="Q11" i="12"/>
  <c r="R10" i="12"/>
  <c r="U10" i="12" s="1"/>
  <c r="V10" i="12" s="1"/>
  <c r="T10" i="12"/>
  <c r="S10" i="12"/>
  <c r="AB12" i="12"/>
  <c r="AD12" i="12" s="1"/>
  <c r="AD11" i="12"/>
  <c r="U11" i="13" l="1"/>
  <c r="V11" i="13" s="1"/>
  <c r="S12" i="13"/>
  <c r="R12" i="13"/>
  <c r="T12" i="13"/>
  <c r="AE6" i="13"/>
  <c r="AA6" i="13"/>
  <c r="AG6" i="13"/>
  <c r="AI6" i="13" s="1"/>
  <c r="AJ6" i="13" s="1"/>
  <c r="AK6" i="13" s="1"/>
  <c r="S11" i="12"/>
  <c r="R11" i="12"/>
  <c r="T11" i="12"/>
  <c r="Q12" i="12"/>
  <c r="P12" i="12"/>
  <c r="Y6" i="12"/>
  <c r="U11" i="12"/>
  <c r="V11" i="12" s="1"/>
  <c r="U12" i="13" l="1"/>
  <c r="V12" i="13" s="1"/>
  <c r="AL6" i="13"/>
  <c r="AM6" i="13" s="1"/>
  <c r="AG6" i="12"/>
  <c r="AI6" i="12" s="1"/>
  <c r="AJ6" i="12" s="1"/>
  <c r="AK6" i="12" s="1"/>
  <c r="AE6" i="12"/>
  <c r="AA6" i="12"/>
  <c r="R12" i="12"/>
  <c r="T12" i="12"/>
  <c r="S12" i="12"/>
  <c r="U12" i="12" s="1"/>
  <c r="V12" i="12" s="1"/>
  <c r="Y7" i="13" l="1"/>
  <c r="AL6" i="12"/>
  <c r="AM6" i="12"/>
  <c r="AA7" i="13" l="1"/>
  <c r="AG7" i="13"/>
  <c r="AI7" i="13" s="1"/>
  <c r="AJ7" i="13" s="1"/>
  <c r="AK7" i="13" s="1"/>
  <c r="AE7" i="13"/>
  <c r="Y7" i="12"/>
  <c r="AL7" i="13" l="1"/>
  <c r="AM7" i="13" s="1"/>
  <c r="AE7" i="12"/>
  <c r="AG7" i="12"/>
  <c r="AI7" i="12" s="1"/>
  <c r="AJ7" i="12" s="1"/>
  <c r="AK7" i="12" s="1"/>
  <c r="AA7" i="12"/>
  <c r="Y8" i="13" l="1"/>
  <c r="AL7" i="12"/>
  <c r="AM7" i="12" s="1"/>
  <c r="AG8" i="13" l="1"/>
  <c r="AI8" i="13" s="1"/>
  <c r="AJ8" i="13" s="1"/>
  <c r="AK8" i="13" s="1"/>
  <c r="AE8" i="13"/>
  <c r="AA8" i="13"/>
  <c r="Y8" i="12"/>
  <c r="AL8" i="13" l="1"/>
  <c r="AM8" i="13" s="1"/>
  <c r="AE8" i="12"/>
  <c r="AG8" i="12"/>
  <c r="AI8" i="12" s="1"/>
  <c r="AJ8" i="12" s="1"/>
  <c r="AK8" i="12" s="1"/>
  <c r="AA8" i="12"/>
  <c r="Y9" i="13" l="1"/>
  <c r="AL8" i="12"/>
  <c r="AM8" i="12"/>
  <c r="AE9" i="13" l="1"/>
  <c r="AG9" i="13"/>
  <c r="AI9" i="13" s="1"/>
  <c r="AJ9" i="13" s="1"/>
  <c r="AK9" i="13" s="1"/>
  <c r="AA9" i="13"/>
  <c r="Y9" i="12"/>
  <c r="AL9" i="13" l="1"/>
  <c r="AM9" i="13" s="1"/>
  <c r="AA9" i="12"/>
  <c r="AG9" i="12"/>
  <c r="AI9" i="12" s="1"/>
  <c r="AJ9" i="12" s="1"/>
  <c r="AK9" i="12" s="1"/>
  <c r="AE9" i="12"/>
  <c r="Y10" i="13" l="1"/>
  <c r="AL9" i="12"/>
  <c r="AM9" i="12"/>
  <c r="AA10" i="13" l="1"/>
  <c r="AE10" i="13"/>
  <c r="AG10" i="13"/>
  <c r="AI10" i="13" s="1"/>
  <c r="AJ10" i="13" s="1"/>
  <c r="AK10" i="13" s="1"/>
  <c r="Y10" i="12"/>
  <c r="AL10" i="13" l="1"/>
  <c r="AM10" i="13" s="1"/>
  <c r="AG10" i="12"/>
  <c r="AI10" i="12" s="1"/>
  <c r="AJ10" i="12" s="1"/>
  <c r="AK10" i="12" s="1"/>
  <c r="AE10" i="12"/>
  <c r="AA10" i="12"/>
  <c r="Y11" i="13" l="1"/>
  <c r="AL10" i="12"/>
  <c r="AM10" i="12"/>
  <c r="AA11" i="13" l="1"/>
  <c r="AG11" i="13"/>
  <c r="AI11" i="13" s="1"/>
  <c r="AJ11" i="13" s="1"/>
  <c r="AK11" i="13" s="1"/>
  <c r="AE11" i="13"/>
  <c r="Y11" i="12"/>
  <c r="AL11" i="13" l="1"/>
  <c r="AM11" i="13" s="1"/>
  <c r="AE11" i="12"/>
  <c r="AG11" i="12"/>
  <c r="AI11" i="12" s="1"/>
  <c r="AJ11" i="12" s="1"/>
  <c r="AK11" i="12" s="1"/>
  <c r="AA11" i="12"/>
  <c r="Y12" i="13" l="1"/>
  <c r="AL11" i="12"/>
  <c r="AM11" i="12"/>
  <c r="AG12" i="13" l="1"/>
  <c r="AI12" i="13" s="1"/>
  <c r="AJ12" i="13" s="1"/>
  <c r="AK12" i="13" s="1"/>
  <c r="AE12" i="13"/>
  <c r="AA12" i="13"/>
  <c r="Y12" i="12"/>
  <c r="AL12" i="13" l="1"/>
  <c r="AM12" i="13" s="1"/>
  <c r="AE12" i="12"/>
  <c r="AA12" i="12"/>
  <c r="AG12" i="12"/>
  <c r="AI12" i="12" s="1"/>
  <c r="AJ12" i="12" s="1"/>
  <c r="AK12" i="12" s="1"/>
  <c r="B25" i="11"/>
  <c r="AF10" i="11" s="1"/>
  <c r="AH10" i="11" s="1"/>
  <c r="B23" i="11"/>
  <c r="B19" i="11"/>
  <c r="B18" i="11"/>
  <c r="B22" i="11" s="1"/>
  <c r="Z12" i="11"/>
  <c r="AC12" i="11" s="1"/>
  <c r="W12" i="11"/>
  <c r="O12" i="11"/>
  <c r="Z11" i="11"/>
  <c r="O11" i="11"/>
  <c r="Z10" i="11"/>
  <c r="AC10" i="11" s="1"/>
  <c r="O10" i="11"/>
  <c r="AC9" i="11"/>
  <c r="Z9" i="11"/>
  <c r="O9" i="11"/>
  <c r="Z8" i="11"/>
  <c r="AC8" i="11" s="1"/>
  <c r="O8" i="11"/>
  <c r="Z7" i="11"/>
  <c r="O7" i="11"/>
  <c r="Z6" i="11"/>
  <c r="AC6" i="11" s="1"/>
  <c r="O6" i="11"/>
  <c r="Z5" i="11"/>
  <c r="AC5" i="11" s="1"/>
  <c r="O5" i="11"/>
  <c r="Z4" i="11"/>
  <c r="AC4" i="11" s="1"/>
  <c r="O4" i="11"/>
  <c r="AG3" i="11"/>
  <c r="AB3" i="11"/>
  <c r="Z3" i="11"/>
  <c r="W3" i="11"/>
  <c r="O3" i="11"/>
  <c r="N3" i="11"/>
  <c r="Q3" i="11" s="1"/>
  <c r="R3" i="11" s="1"/>
  <c r="AL12" i="12" l="1"/>
  <c r="AM12" i="12"/>
  <c r="AF4" i="11"/>
  <c r="AF3" i="11"/>
  <c r="AF7" i="11"/>
  <c r="AH7" i="11" s="1"/>
  <c r="AF8" i="11"/>
  <c r="AH8" i="11" s="1"/>
  <c r="AF11" i="11"/>
  <c r="AF12" i="11"/>
  <c r="X12" i="11"/>
  <c r="AH3" i="11"/>
  <c r="AC11" i="11"/>
  <c r="X3" i="11"/>
  <c r="AE3" i="11" s="1"/>
  <c r="B20" i="11"/>
  <c r="B21" i="11" s="1"/>
  <c r="AM2" i="11" s="1"/>
  <c r="T3" i="11"/>
  <c r="S3" i="11"/>
  <c r="AC3" i="11"/>
  <c r="W4" i="11"/>
  <c r="X4" i="11" s="1"/>
  <c r="P3" i="11"/>
  <c r="AB4" i="11"/>
  <c r="AD3" i="11"/>
  <c r="N4" i="11"/>
  <c r="AH4" i="11"/>
  <c r="AC7" i="11"/>
  <c r="AH11" i="11"/>
  <c r="AH12" i="11"/>
  <c r="AF5" i="11"/>
  <c r="AF9" i="11"/>
  <c r="AF6" i="11"/>
  <c r="U3" i="11" l="1"/>
  <c r="V3" i="11" s="1"/>
  <c r="AI3" i="11"/>
  <c r="AJ3" i="11" s="1"/>
  <c r="AH6" i="11"/>
  <c r="N5" i="11"/>
  <c r="Q4" i="11"/>
  <c r="P4" i="11"/>
  <c r="AL3" i="11"/>
  <c r="W5" i="11"/>
  <c r="AH9" i="11"/>
  <c r="AH5" i="11"/>
  <c r="AB5" i="11"/>
  <c r="AD4" i="11"/>
  <c r="AK3" i="11" l="1"/>
  <c r="AM3" i="11" s="1"/>
  <c r="Y4" i="11" s="1"/>
  <c r="Q5" i="11"/>
  <c r="N6" i="11"/>
  <c r="P5" i="11"/>
  <c r="T4" i="11"/>
  <c r="S4" i="11"/>
  <c r="R4" i="11"/>
  <c r="U4" i="11" s="1"/>
  <c r="V4" i="11" s="1"/>
  <c r="AB6" i="11"/>
  <c r="AD5" i="11"/>
  <c r="X5" i="11"/>
  <c r="W6" i="11"/>
  <c r="N7" i="11" l="1"/>
  <c r="P6" i="11"/>
  <c r="Q6" i="11"/>
  <c r="W7" i="11"/>
  <c r="X6" i="11"/>
  <c r="S5" i="11"/>
  <c r="R5" i="11"/>
  <c r="U5" i="11" s="1"/>
  <c r="V5" i="11" s="1"/>
  <c r="T5" i="11"/>
  <c r="AB7" i="11"/>
  <c r="AD6" i="11"/>
  <c r="AA4" i="11"/>
  <c r="AG4" i="11"/>
  <c r="AI4" i="11" s="1"/>
  <c r="AJ4" i="11" s="1"/>
  <c r="AK4" i="11" s="1"/>
  <c r="AE4" i="11"/>
  <c r="T6" i="11" l="1"/>
  <c r="S6" i="11"/>
  <c r="R6" i="11"/>
  <c r="AL4" i="11"/>
  <c r="AM4" i="11" s="1"/>
  <c r="X7" i="11"/>
  <c r="W8" i="11"/>
  <c r="N8" i="11"/>
  <c r="Q7" i="11"/>
  <c r="P7" i="11"/>
  <c r="AB8" i="11"/>
  <c r="AD7" i="11"/>
  <c r="U6" i="11" l="1"/>
  <c r="V6" i="11" s="1"/>
  <c r="Y5" i="11"/>
  <c r="P8" i="11"/>
  <c r="Q8" i="11"/>
  <c r="N9" i="11"/>
  <c r="X8" i="11"/>
  <c r="W9" i="11"/>
  <c r="AB9" i="11"/>
  <c r="AD8" i="11"/>
  <c r="S7" i="11"/>
  <c r="R7" i="11"/>
  <c r="T7" i="11"/>
  <c r="U7" i="11" l="1"/>
  <c r="V7" i="11" s="1"/>
  <c r="AB10" i="11"/>
  <c r="AD9" i="11"/>
  <c r="Q9" i="11"/>
  <c r="N10" i="11"/>
  <c r="P9" i="11"/>
  <c r="U8" i="11"/>
  <c r="V8" i="11" s="1"/>
  <c r="X9" i="11"/>
  <c r="W10" i="11"/>
  <c r="R8" i="11"/>
  <c r="S8" i="11"/>
  <c r="T8" i="11"/>
  <c r="AG5" i="11"/>
  <c r="AI5" i="11" s="1"/>
  <c r="AJ5" i="11" s="1"/>
  <c r="AK5" i="11" s="1"/>
  <c r="AA5" i="11"/>
  <c r="AE5" i="11"/>
  <c r="W11" i="11" l="1"/>
  <c r="X11" i="11" s="1"/>
  <c r="X10" i="11"/>
  <c r="N11" i="11"/>
  <c r="P10" i="11"/>
  <c r="Q10" i="11"/>
  <c r="AL5" i="11"/>
  <c r="AM5" i="11" s="1"/>
  <c r="S9" i="11"/>
  <c r="R9" i="11"/>
  <c r="T9" i="11"/>
  <c r="AB11" i="11"/>
  <c r="AD10" i="11"/>
  <c r="U9" i="11" l="1"/>
  <c r="V9" i="11" s="1"/>
  <c r="Y6" i="11"/>
  <c r="T10" i="11"/>
  <c r="S10" i="11"/>
  <c r="R10" i="11"/>
  <c r="AB12" i="11"/>
  <c r="AD12" i="11" s="1"/>
  <c r="AD11" i="11"/>
  <c r="Q11" i="11"/>
  <c r="P11" i="11"/>
  <c r="N12" i="11"/>
  <c r="U10" i="11" l="1"/>
  <c r="V10" i="11" s="1"/>
  <c r="AE6" i="11"/>
  <c r="AA6" i="11"/>
  <c r="AG6" i="11"/>
  <c r="AI6" i="11" s="1"/>
  <c r="AJ6" i="11" s="1"/>
  <c r="AK6" i="11" s="1"/>
  <c r="Q12" i="11"/>
  <c r="P12" i="11"/>
  <c r="R11" i="11"/>
  <c r="T11" i="11"/>
  <c r="S11" i="11"/>
  <c r="U11" i="11" l="1"/>
  <c r="V11" i="11" s="1"/>
  <c r="AL6" i="11"/>
  <c r="AM6" i="11" s="1"/>
  <c r="R12" i="11"/>
  <c r="S12" i="11"/>
  <c r="T12" i="11"/>
  <c r="U12" i="11" l="1"/>
  <c r="V12" i="11" s="1"/>
  <c r="Y7" i="11"/>
  <c r="AA7" i="11" l="1"/>
  <c r="AG7" i="11"/>
  <c r="AI7" i="11" s="1"/>
  <c r="AJ7" i="11" s="1"/>
  <c r="AK7" i="11" s="1"/>
  <c r="AE7" i="11"/>
  <c r="AL7" i="11" l="1"/>
  <c r="AM7" i="11" s="1"/>
  <c r="Y8" i="11" l="1"/>
  <c r="AA8" i="11" l="1"/>
  <c r="AG8" i="11"/>
  <c r="AI8" i="11" s="1"/>
  <c r="AJ8" i="11" s="1"/>
  <c r="AK8" i="11" s="1"/>
  <c r="AE8" i="11"/>
  <c r="AL8" i="11" l="1"/>
  <c r="AM8" i="11" s="1"/>
  <c r="Y9" i="11" l="1"/>
  <c r="AG9" i="11" l="1"/>
  <c r="AI9" i="11" s="1"/>
  <c r="AJ9" i="11" s="1"/>
  <c r="AK9" i="11" s="1"/>
  <c r="AE9" i="11"/>
  <c r="AA9" i="11"/>
  <c r="AL9" i="11" l="1"/>
  <c r="AM9" i="11" s="1"/>
  <c r="Y10" i="11" l="1"/>
  <c r="AE10" i="11" l="1"/>
  <c r="AG10" i="11"/>
  <c r="AI10" i="11" s="1"/>
  <c r="AJ10" i="11" s="1"/>
  <c r="AK10" i="11" s="1"/>
  <c r="AA10" i="11"/>
  <c r="AL10" i="11" l="1"/>
  <c r="AM10" i="11" s="1"/>
  <c r="Y11" i="11" l="1"/>
  <c r="AG11" i="11" l="1"/>
  <c r="AI11" i="11" s="1"/>
  <c r="AJ11" i="11" s="1"/>
  <c r="AK11" i="11" s="1"/>
  <c r="AE11" i="11"/>
  <c r="AA11" i="11"/>
  <c r="AL11" i="11" l="1"/>
  <c r="AM11" i="11" s="1"/>
  <c r="Y12" i="11" l="1"/>
  <c r="AA12" i="11" l="1"/>
  <c r="AE12" i="11"/>
  <c r="AG12" i="11"/>
  <c r="AI12" i="11" s="1"/>
  <c r="AJ12" i="11" s="1"/>
  <c r="AK12" i="11" s="1"/>
  <c r="AL12" i="11" l="1"/>
  <c r="AM12" i="11" s="1"/>
</calcChain>
</file>

<file path=xl/sharedStrings.xml><?xml version="1.0" encoding="utf-8"?>
<sst xmlns="http://schemas.openxmlformats.org/spreadsheetml/2006/main" count="558" uniqueCount="238">
  <si>
    <t>Day</t>
  </si>
  <si>
    <t>Zr</t>
  </si>
  <si>
    <t>RAW</t>
  </si>
  <si>
    <t>Ks</t>
  </si>
  <si>
    <t>Kcb</t>
  </si>
  <si>
    <t>Ke</t>
  </si>
  <si>
    <t>Kc</t>
  </si>
  <si>
    <t>m</t>
  </si>
  <si>
    <t>mm</t>
  </si>
  <si>
    <t>-</t>
  </si>
  <si>
    <t>Dr_Begin</t>
  </si>
  <si>
    <t>Dr_End</t>
  </si>
  <si>
    <t>mm/day</t>
  </si>
  <si>
    <t>Begin</t>
  </si>
  <si>
    <t>Kr</t>
  </si>
  <si>
    <t>1-fc</t>
  </si>
  <si>
    <t>fw</t>
  </si>
  <si>
    <t>few</t>
  </si>
  <si>
    <t>Etca</t>
  </si>
  <si>
    <t>Kcmax</t>
  </si>
  <si>
    <t>Depletion Factor</t>
  </si>
  <si>
    <t>Field Capacity</t>
  </si>
  <si>
    <t>Wilting Point</t>
  </si>
  <si>
    <t>Fraction</t>
  </si>
  <si>
    <t>Rainfall</t>
  </si>
  <si>
    <t>Reference ET</t>
  </si>
  <si>
    <t>Irrigation Method</t>
  </si>
  <si>
    <t>Crop Growth Stage</t>
  </si>
  <si>
    <t>Initial Stage</t>
  </si>
  <si>
    <t>Crop Development Stage</t>
  </si>
  <si>
    <t>Mid Season Stage</t>
  </si>
  <si>
    <t>Late Season Stage</t>
  </si>
  <si>
    <t>Sprinkler</t>
  </si>
  <si>
    <t>Basin</t>
  </si>
  <si>
    <t>Border</t>
  </si>
  <si>
    <t>Furrow, Narrow Bed</t>
  </si>
  <si>
    <t>Furrow, Wide Bed</t>
  </si>
  <si>
    <t>Furrow, Alternated</t>
  </si>
  <si>
    <t>Trickle</t>
  </si>
  <si>
    <t>Soil Texture</t>
  </si>
  <si>
    <t>Sand</t>
  </si>
  <si>
    <t>Loamy Sand</t>
  </si>
  <si>
    <t>Loam</t>
  </si>
  <si>
    <t>Silt Loam</t>
  </si>
  <si>
    <t>Silt</t>
  </si>
  <si>
    <t>Silt Clay Loam</t>
  </si>
  <si>
    <t>Silty Clay</t>
  </si>
  <si>
    <t>Clay</t>
  </si>
  <si>
    <t>Items</t>
  </si>
  <si>
    <t>Values</t>
  </si>
  <si>
    <t>TAW</t>
  </si>
  <si>
    <t>TEW</t>
  </si>
  <si>
    <t>REW</t>
  </si>
  <si>
    <t>Sandy Loam</t>
  </si>
  <si>
    <t>Unit</t>
  </si>
  <si>
    <t>None</t>
  </si>
  <si>
    <t>Crop and Soil Characteristics</t>
  </si>
  <si>
    <t>Day 3</t>
  </si>
  <si>
    <t>Day 2</t>
  </si>
  <si>
    <t>Day 4</t>
  </si>
  <si>
    <t>Day 5</t>
  </si>
  <si>
    <t>Day 6</t>
  </si>
  <si>
    <t>Day 7</t>
  </si>
  <si>
    <t>Day 8</t>
  </si>
  <si>
    <t>Day 9</t>
  </si>
  <si>
    <t>Day 10</t>
  </si>
  <si>
    <t>Precip. (mm)</t>
  </si>
  <si>
    <t>Humidity (%)</t>
  </si>
  <si>
    <t>Location</t>
  </si>
  <si>
    <t>Longitude</t>
  </si>
  <si>
    <t>Irrigation (mm)</t>
  </si>
  <si>
    <t>Results</t>
  </si>
  <si>
    <t>Excess or Loss (mm)</t>
  </si>
  <si>
    <t>Wind (km/hour)</t>
  </si>
  <si>
    <t>Crop</t>
  </si>
  <si>
    <t>Kcb_ini</t>
  </si>
  <si>
    <t>kcb_mid</t>
  </si>
  <si>
    <t>kcb_end</t>
  </si>
  <si>
    <t>Broccoli</t>
  </si>
  <si>
    <t>Brussel Sprouts</t>
  </si>
  <si>
    <t>Cabbage</t>
  </si>
  <si>
    <t>Carrots</t>
  </si>
  <si>
    <t>Cauliflower</t>
  </si>
  <si>
    <t>Celery</t>
  </si>
  <si>
    <t>Garlic</t>
  </si>
  <si>
    <t>Lettuce</t>
  </si>
  <si>
    <t>Onions - Green</t>
  </si>
  <si>
    <t>Onions - Dry</t>
  </si>
  <si>
    <t>Onions - Seed</t>
  </si>
  <si>
    <t>Spinach</t>
  </si>
  <si>
    <t>Radishes</t>
  </si>
  <si>
    <t>Eggplant</t>
  </si>
  <si>
    <t>Sweet Peppers</t>
  </si>
  <si>
    <t>Tomato</t>
  </si>
  <si>
    <t>Cantaloupe</t>
  </si>
  <si>
    <t>Cucumber - Fresch Market</t>
  </si>
  <si>
    <t>Cucumber - Machine Harvest</t>
  </si>
  <si>
    <t>Pumpkin, Winter Squash</t>
  </si>
  <si>
    <t>Sweet Melons</t>
  </si>
  <si>
    <t>Squash, Zucchini</t>
  </si>
  <si>
    <t>Watermelon</t>
  </si>
  <si>
    <t>Beets</t>
  </si>
  <si>
    <t>Cassava - Year 1</t>
  </si>
  <si>
    <t>Cassava - Year 2</t>
  </si>
  <si>
    <t>Parsnip</t>
  </si>
  <si>
    <t>Potato</t>
  </si>
  <si>
    <t>Sweet Potato</t>
  </si>
  <si>
    <t>Turnip</t>
  </si>
  <si>
    <t>Sugar Beet</t>
  </si>
  <si>
    <t>Been, Green</t>
  </si>
  <si>
    <t>Beans, Dry and Pulses</t>
  </si>
  <si>
    <t>Chick Pea</t>
  </si>
  <si>
    <t>Fababean - Fresh</t>
  </si>
  <si>
    <t>Fababean - Dry/Seed</t>
  </si>
  <si>
    <t>Grabanzo</t>
  </si>
  <si>
    <t>Green Gram and Cowpeas</t>
  </si>
  <si>
    <t>Groundnut (Peanut)</t>
  </si>
  <si>
    <t>Lentil</t>
  </si>
  <si>
    <t>Peas - Fresh</t>
  </si>
  <si>
    <t>Peas - Dry/Seed</t>
  </si>
  <si>
    <t>Soybeans</t>
  </si>
  <si>
    <t>Artichokes</t>
  </si>
  <si>
    <t>Asparagus</t>
  </si>
  <si>
    <t>Mint</t>
  </si>
  <si>
    <t>Strawberries</t>
  </si>
  <si>
    <t>Cotton</t>
  </si>
  <si>
    <t>Flax</t>
  </si>
  <si>
    <t>Sisal</t>
  </si>
  <si>
    <t>Castorbean</t>
  </si>
  <si>
    <t>Rapeseed, Canola</t>
  </si>
  <si>
    <t>Safflower</t>
  </si>
  <si>
    <t>Sesame</t>
  </si>
  <si>
    <t>Sunflower</t>
  </si>
  <si>
    <t>Barley</t>
  </si>
  <si>
    <t>Oats</t>
  </si>
  <si>
    <t>Spring Wheat</t>
  </si>
  <si>
    <t>Winter Wheat</t>
  </si>
  <si>
    <t>Maize - Field (Grain)</t>
  </si>
  <si>
    <t>Maize - Sweet</t>
  </si>
  <si>
    <t>Millet</t>
  </si>
  <si>
    <t>Sorghum - Grain</t>
  </si>
  <si>
    <t>Sorghum - Sweet</t>
  </si>
  <si>
    <t>Rice</t>
  </si>
  <si>
    <t>Alfalfa Hay - Cutting Periods</t>
  </si>
  <si>
    <t>Alfalfa Hay - For Seed</t>
  </si>
  <si>
    <t>Clover Hay (Berseem)</t>
  </si>
  <si>
    <t>Rye Grass Hay</t>
  </si>
  <si>
    <t>Sudan Grass Hay</t>
  </si>
  <si>
    <t>Sugarcane</t>
  </si>
  <si>
    <t>Cacao</t>
  </si>
  <si>
    <t>Coeffee - Bare Ground Cover</t>
  </si>
  <si>
    <t>Coeffee - With Seeds</t>
  </si>
  <si>
    <t>Date Palms</t>
  </si>
  <si>
    <t>Palm Trees</t>
  </si>
  <si>
    <t>Rubber Trees</t>
  </si>
  <si>
    <t>Tea - Nonshaded</t>
  </si>
  <si>
    <t>Tea - Shaded</t>
  </si>
  <si>
    <t>Berries (Bushes)</t>
  </si>
  <si>
    <t>Grapes - Table or Raisin</t>
  </si>
  <si>
    <t>Grapes - Wine</t>
  </si>
  <si>
    <t>Hops</t>
  </si>
  <si>
    <t>Almonds</t>
  </si>
  <si>
    <t>Apples, Cherries, Pears - No Ground Cover, Killing Frost</t>
  </si>
  <si>
    <t>Apples, Cherries, Pears - No Ground Cover, No Frost</t>
  </si>
  <si>
    <t>Apples, Cherries, Pears - Active Ground Cover, Killing Frost</t>
  </si>
  <si>
    <t>Apples, Cherries, Pears - Active Ground Cover, No Frost</t>
  </si>
  <si>
    <t>Apricots, Peaches, Stone Fruit - No Ground Cover, Killing Frost</t>
  </si>
  <si>
    <t>Apricots, Peaches, Stone Fruit - No Ground Cover, No Frost</t>
  </si>
  <si>
    <t>Apricots, Peaches, Stone Fruit - Active Ground Cover, Killing Frost</t>
  </si>
  <si>
    <t>Apricots, Peaches, Stone Fruit - Active Ground Cover, No Frost</t>
  </si>
  <si>
    <t>Avocado</t>
  </si>
  <si>
    <t>Citrus, No Ground Cover, 70% Canopy</t>
  </si>
  <si>
    <t>Citrus, No Ground Cover, 50% Canopy</t>
  </si>
  <si>
    <t>Citrus, No Ground Cover, 20% Canopy</t>
  </si>
  <si>
    <t>Citrus, Active Ground Cover or Weeds, 70% Canopy</t>
  </si>
  <si>
    <t>Citrus, Active Ground Cover or Weeds, 50% Canopy</t>
  </si>
  <si>
    <t>Citrus, Active Ground Cover or Weeds, 20% Canopy</t>
  </si>
  <si>
    <t>Conifer Trees</t>
  </si>
  <si>
    <t>Kiwi</t>
  </si>
  <si>
    <t>Olives</t>
  </si>
  <si>
    <t>Pistachios</t>
  </si>
  <si>
    <t>Walnut Orchard</t>
  </si>
  <si>
    <t>Bermuda Hay - Averaged Cutting Effects</t>
  </si>
  <si>
    <t>Bermuda Hay - Spring Crop for Seed</t>
  </si>
  <si>
    <t>Grazing Pasture - Rotated Grazing</t>
  </si>
  <si>
    <t>Grazing Pasture - Extensive Grazing</t>
  </si>
  <si>
    <t>Turf Grass - Cool Season</t>
  </si>
  <si>
    <t>Turf Grass - Warm Season</t>
  </si>
  <si>
    <t>Banana - 1st Year</t>
  </si>
  <si>
    <t>Banana - 2nd Year</t>
  </si>
  <si>
    <t>Pineapple - Bare Soil</t>
  </si>
  <si>
    <t>Pineapple - With Grass Cover</t>
  </si>
  <si>
    <t>kcb (Table)</t>
  </si>
  <si>
    <t>High Temp. (Cel. Deg.)</t>
  </si>
  <si>
    <t>Low Temp. (Cel. Deg.)</t>
  </si>
  <si>
    <t>Day 1</t>
  </si>
  <si>
    <t>Calculation Procedures</t>
  </si>
  <si>
    <t>Region</t>
  </si>
  <si>
    <t>Eastern</t>
  </si>
  <si>
    <t>Central</t>
  </si>
  <si>
    <t>Rocky</t>
  </si>
  <si>
    <t>Pacific</t>
  </si>
  <si>
    <t>ER</t>
  </si>
  <si>
    <t>Date of Day 1</t>
  </si>
  <si>
    <t>JD</t>
  </si>
  <si>
    <t>Lat_Rad</t>
  </si>
  <si>
    <t>IRD_ES</t>
  </si>
  <si>
    <t>S_Dec</t>
  </si>
  <si>
    <t>SS_Angle</t>
  </si>
  <si>
    <t>SinSin</t>
  </si>
  <si>
    <t>CosCos</t>
  </si>
  <si>
    <r>
      <t xml:space="preserve">Crop Type: </t>
    </r>
    <r>
      <rPr>
        <sz val="11"/>
        <color rgb="FFFF0000"/>
        <rFont val="Calibri"/>
        <family val="2"/>
        <scheme val="minor"/>
      </rPr>
      <t>Select -&gt;</t>
    </r>
  </si>
  <si>
    <r>
      <t xml:space="preserve">Crop Growth Stage: </t>
    </r>
    <r>
      <rPr>
        <sz val="11"/>
        <color rgb="FFFF0000"/>
        <rFont val="Calibri"/>
        <family val="2"/>
        <scheme val="minor"/>
      </rPr>
      <t>Select -&gt;</t>
    </r>
  </si>
  <si>
    <r>
      <t xml:space="preserve">Soil Texture: </t>
    </r>
    <r>
      <rPr>
        <sz val="11"/>
        <color rgb="FFFF0000"/>
        <rFont val="Calibri"/>
        <family val="2"/>
        <scheme val="minor"/>
      </rPr>
      <t>Select -&gt;</t>
    </r>
  </si>
  <si>
    <r>
      <t xml:space="preserve">Irrigation Method: </t>
    </r>
    <r>
      <rPr>
        <sz val="11"/>
        <color rgb="FFFF0000"/>
        <rFont val="Calibri"/>
        <family val="2"/>
        <scheme val="minor"/>
      </rPr>
      <t>Select -&gt;</t>
    </r>
  </si>
  <si>
    <r>
      <t xml:space="preserve">Region: </t>
    </r>
    <r>
      <rPr>
        <sz val="11"/>
        <color rgb="FFFF0000"/>
        <rFont val="Calibri"/>
        <family val="2"/>
        <scheme val="minor"/>
      </rPr>
      <t>Select -&gt;</t>
    </r>
  </si>
  <si>
    <t>Date (MM/DD/YYYY): Enter -&gt;</t>
  </si>
  <si>
    <r>
      <t xml:space="preserve">Latitude: </t>
    </r>
    <r>
      <rPr>
        <sz val="11"/>
        <color rgb="FFFF0000"/>
        <rFont val="Calibri"/>
        <family val="2"/>
        <scheme val="minor"/>
      </rPr>
      <t>Type -&gt;</t>
    </r>
  </si>
  <si>
    <r>
      <t xml:space="preserve">Longitude: </t>
    </r>
    <r>
      <rPr>
        <sz val="11"/>
        <color rgb="FFFF0000"/>
        <rFont val="Calibri"/>
        <family val="2"/>
        <scheme val="minor"/>
      </rPr>
      <t>Type -&gt;</t>
    </r>
  </si>
  <si>
    <r>
      <t xml:space="preserve">Crop Height: </t>
    </r>
    <r>
      <rPr>
        <sz val="11"/>
        <color rgb="FFFF0000"/>
        <rFont val="Calibri"/>
        <family val="2"/>
        <scheme val="minor"/>
      </rPr>
      <t>Type -&gt;</t>
    </r>
  </si>
  <si>
    <r>
      <t xml:space="preserve">Root Zone Depth on First Day: </t>
    </r>
    <r>
      <rPr>
        <sz val="11"/>
        <color rgb="FFFF0000"/>
        <rFont val="Calibri"/>
        <family val="2"/>
        <scheme val="minor"/>
      </rPr>
      <t>Type -&gt;</t>
    </r>
  </si>
  <si>
    <r>
      <t xml:space="preserve">Root Zone Depth on Tenth Day: </t>
    </r>
    <r>
      <rPr>
        <sz val="11"/>
        <color rgb="FFFF0000"/>
        <rFont val="Calibri"/>
        <family val="2"/>
        <scheme val="minor"/>
      </rPr>
      <t>Type -&gt;</t>
    </r>
  </si>
  <si>
    <t>1. Find the locational information of your farm and type the information (latitude and longitude) in the "Location" section in yellow; you can find the latitude and longitude of your farm using the Google map (https://www.google.com/maps).</t>
  </si>
  <si>
    <t>2. Type the date of Day 1 in the yellow text box of the 'Date of Day 1" section following the recommended format (MM/DD/YYYY).</t>
  </si>
  <si>
    <t>3. Select the type of a crop from the drop-down list in yellow in the "Crop and Soil Characteristics" section.</t>
  </si>
  <si>
    <t>4. Select the growth stage of a crop from the drop-down list in yellow in the "Crop and Soil Characteristics" section.</t>
  </si>
  <si>
    <t>5. Type the height of a crop in the yellow textbox in the "Crop and Soil Characteristics" section.</t>
  </si>
  <si>
    <t>6. Select the texture of a soil from the drop-down list in yellow in the "Crop and Soil Characteristics" section.</t>
  </si>
  <si>
    <t>7. Select the method of irrigation from the drop-down list in yellow in the "Crop and Soil Characteristics" section.</t>
  </si>
  <si>
    <t>8. Type the depth of a root zone on the first day of irrigation in the yellow textbox in the "Crop and Soil Characteristics" section.</t>
  </si>
  <si>
    <t>9. Type the depth of a root zone on the last (or tenth) day of irrigation in the yellow textbox in the "Crop and Soil Characteristics" section.</t>
  </si>
  <si>
    <t>Weather Forecast</t>
  </si>
  <si>
    <r>
      <t xml:space="preserve">Soil Depth Subject to Drying by Evaporation: </t>
    </r>
    <r>
      <rPr>
        <sz val="11"/>
        <color rgb="FFFF0000"/>
        <rFont val="Calibri"/>
        <family val="2"/>
        <scheme val="minor"/>
      </rPr>
      <t>Type -&gt;</t>
    </r>
  </si>
  <si>
    <t>10. Type the depth of soil layer that is subject to drying by evaporation (the default value is 0.10 m)</t>
  </si>
  <si>
    <t>11. Find 10-day weather forecast and type the values in the table in the "Weather Forecast" section; you can find the forecast at https://weather.com/weather/today/l/33031:4:US</t>
  </si>
  <si>
    <t>12. Then, you can find the recommended amount of water to be applied in the next 10 days in the "Results"\ section.</t>
  </si>
  <si>
    <t>13. Once all calculations are done, you can try different amount of water and/or different application date. Then, you can check if there is loss of water applied due to percolation in the "Excess or Loss (mm)" column.</t>
  </si>
  <si>
    <t>Other Parameters (Automatically 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</si>
</sst>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mm/dd/yy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1" tint="4.9989318521683403E-2"/>
      </left>
      <right style="thin">
        <color theme="0" tint="-0.49998474074526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1" tint="4.9989318521683403E-2"/>
      </top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4.9989318521683403E-2"/>
      </left>
      <right style="thin">
        <color theme="0" tint="-0.499984740745262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0" tint="-0.499984740745262"/>
      </left>
      <right style="thin">
        <color theme="1" tint="4.9989318521683403E-2"/>
      </right>
      <top style="thin">
        <color theme="0" tint="-0.499984740745262"/>
      </top>
      <bottom style="thin">
        <color theme="1" tint="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4" fontId="0" fillId="0" borderId="0" xfId="0" applyNumberFormat="1"/>
    <xf numFmtId="164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/>
    <xf numFmtId="1" fontId="0" fillId="3" borderId="1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1" fontId="0" fillId="2" borderId="7" xfId="0" applyNumberFormat="1" applyFill="1" applyBorder="1"/>
    <xf numFmtId="16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164" fontId="0" fillId="2" borderId="11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2" fontId="0" fillId="2" borderId="11" xfId="0" applyNumberFormat="1" applyFill="1" applyBorder="1"/>
    <xf numFmtId="1" fontId="0" fillId="2" borderId="11" xfId="0" applyNumberFormat="1" applyFill="1" applyBorder="1" applyAlignment="1">
      <alignment horizontal="center" vertical="center"/>
    </xf>
    <xf numFmtId="1" fontId="0" fillId="2" borderId="6" xfId="0" quotePrefix="1" applyNumberFormat="1" applyFill="1" applyBorder="1" applyAlignment="1">
      <alignment horizontal="center"/>
    </xf>
    <xf numFmtId="2" fontId="0" fillId="2" borderId="6" xfId="0" quotePrefix="1" applyNumberFormat="1" applyFill="1" applyBorder="1" applyAlignment="1">
      <alignment horizontal="center"/>
    </xf>
    <xf numFmtId="164" fontId="0" fillId="2" borderId="6" xfId="0" quotePrefix="1" applyNumberFormat="1" applyFill="1" applyBorder="1" applyAlignment="1">
      <alignment horizontal="right"/>
    </xf>
    <xf numFmtId="164" fontId="0" fillId="2" borderId="1" xfId="0" applyNumberFormat="1" applyFill="1" applyBorder="1"/>
    <xf numFmtId="1" fontId="0" fillId="2" borderId="9" xfId="0" applyNumberFormat="1" applyFill="1" applyBorder="1"/>
    <xf numFmtId="164" fontId="0" fillId="2" borderId="11" xfId="0" applyNumberFormat="1" applyFill="1" applyBorder="1"/>
    <xf numFmtId="1" fontId="0" fillId="2" borderId="12" xfId="0" applyNumberFormat="1" applyFill="1" applyBorder="1"/>
    <xf numFmtId="164" fontId="0" fillId="4" borderId="1" xfId="0" applyNumberFormat="1" applyFill="1" applyBorder="1"/>
    <xf numFmtId="164" fontId="0" fillId="4" borderId="11" xfId="0" applyNumberFormat="1" applyFill="1" applyBorder="1"/>
    <xf numFmtId="0" fontId="0" fillId="0" borderId="0" xfId="0" quotePrefix="1"/>
    <xf numFmtId="1" fontId="0" fillId="0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vertical="top"/>
    </xf>
    <xf numFmtId="165" fontId="0" fillId="2" borderId="1" xfId="0" applyNumberForma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3" borderId="29" xfId="0" applyNumberForma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0" fontId="0" fillId="2" borderId="24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25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0" fillId="2" borderId="28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1" fontId="0" fillId="0" borderId="0" xfId="0" applyNumberFormat="1" applyFont="1" applyAlignment="1">
      <alignment vertical="top"/>
    </xf>
    <xf numFmtId="1" fontId="0" fillId="0" borderId="0" xfId="0" applyNumberFormat="1" applyFont="1"/>
    <xf numFmtId="164" fontId="0" fillId="0" borderId="0" xfId="0" applyNumberFormat="1" applyFont="1"/>
    <xf numFmtId="0" fontId="0" fillId="2" borderId="8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 vertical="center"/>
    </xf>
    <xf numFmtId="164" fontId="0" fillId="2" borderId="6" xfId="0" quotePrefix="1" applyNumberFormat="1" applyFill="1" applyBorder="1" applyAlignment="1">
      <alignment horizontal="center" vertical="center"/>
    </xf>
    <xf numFmtId="2" fontId="0" fillId="2" borderId="6" xfId="0" quotePrefix="1" applyNumberFormat="1" applyFill="1" applyBorder="1" applyAlignment="1">
      <alignment horizontal="center" vertical="center"/>
    </xf>
    <xf numFmtId="1" fontId="0" fillId="2" borderId="6" xfId="0" quotePrefix="1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1" fontId="4" fillId="5" borderId="26" xfId="0" applyNumberFormat="1" applyFon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166" fontId="0" fillId="3" borderId="4" xfId="0" applyNumberFormat="1" applyFill="1" applyBorder="1" applyAlignment="1">
      <alignment horizontal="center"/>
    </xf>
    <xf numFmtId="166" fontId="0" fillId="3" borderId="25" xfId="0" applyNumberForma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1" fontId="0" fillId="2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zoomScale="115" zoomScaleNormal="115" workbookViewId="0">
      <selection sqref="A1:C1"/>
    </sheetView>
  </sheetViews>
  <sheetFormatPr defaultRowHeight="15" x14ac:dyDescent="0.25"/>
  <cols>
    <col min="1" max="1" width="47.85546875" bestFit="1" customWidth="1"/>
    <col min="2" max="2" width="27.42578125" customWidth="1"/>
    <col min="3" max="3" width="8.140625" bestFit="1" customWidth="1"/>
    <col min="4" max="4" width="3.7109375" style="2" customWidth="1"/>
    <col min="5" max="5" width="10" style="2" customWidth="1"/>
    <col min="6" max="6" width="21" style="2" bestFit="1" customWidth="1"/>
    <col min="7" max="7" width="20.5703125" style="2" bestFit="1" customWidth="1"/>
    <col min="8" max="8" width="12.42578125" style="2" bestFit="1" customWidth="1"/>
    <col min="9" max="9" width="15.42578125" style="2" bestFit="1" customWidth="1"/>
    <col min="10" max="10" width="12.5703125" style="2" bestFit="1" customWidth="1"/>
    <col min="11" max="11" width="3.7109375" style="2" customWidth="1"/>
    <col min="12" max="12" width="7.140625" style="2" bestFit="1" customWidth="1"/>
    <col min="13" max="13" width="6" style="1" hidden="1" customWidth="1"/>
    <col min="14" max="14" width="4.42578125" style="1" hidden="1" customWidth="1"/>
    <col min="15" max="15" width="8" style="1" hidden="1" customWidth="1"/>
    <col min="16" max="16" width="7" style="1" hidden="1" customWidth="1"/>
    <col min="17" max="17" width="6.7109375" style="1" hidden="1" customWidth="1"/>
    <col min="18" max="18" width="9.140625" style="1" hidden="1" customWidth="1"/>
    <col min="19" max="19" width="6.7109375" style="1" hidden="1" customWidth="1"/>
    <col min="20" max="21" width="7.28515625" style="1" hidden="1" customWidth="1"/>
    <col min="22" max="22" width="12.5703125" style="3" hidden="1" customWidth="1"/>
    <col min="23" max="23" width="5" style="2" hidden="1" customWidth="1"/>
    <col min="24" max="24" width="5.42578125" style="2" hidden="1" customWidth="1"/>
    <col min="25" max="25" width="9" style="2" hidden="1" customWidth="1"/>
    <col min="26" max="26" width="7.7109375" style="2" hidden="1" customWidth="1"/>
    <col min="27" max="27" width="14.5703125" style="2" bestFit="1" customWidth="1"/>
    <col min="28" max="30" width="5" style="2" hidden="1" customWidth="1"/>
    <col min="31" max="33" width="5" style="3" hidden="1" customWidth="1"/>
    <col min="34" max="34" width="6.7109375" style="3" hidden="1" customWidth="1"/>
    <col min="35" max="35" width="5" style="3" hidden="1" customWidth="1"/>
    <col min="36" max="36" width="5" style="1" hidden="1" customWidth="1"/>
    <col min="37" max="37" width="4.7109375" style="2" hidden="1" customWidth="1"/>
    <col min="38" max="38" width="18.7109375" style="2" customWidth="1"/>
    <col min="39" max="39" width="7.28515625" hidden="1" customWidth="1"/>
    <col min="40" max="40" width="19" style="4" customWidth="1"/>
    <col min="41" max="41" width="2.7109375" customWidth="1"/>
    <col min="42" max="44" width="14.140625" customWidth="1"/>
    <col min="45" max="45" width="9.140625" customWidth="1"/>
  </cols>
  <sheetData>
    <row r="1" spans="1:40" x14ac:dyDescent="0.25">
      <c r="A1" s="80" t="s">
        <v>68</v>
      </c>
      <c r="B1" s="81"/>
      <c r="C1" s="82"/>
      <c r="E1" s="83" t="s">
        <v>231</v>
      </c>
      <c r="F1" s="84"/>
      <c r="G1" s="84"/>
      <c r="H1" s="84"/>
      <c r="I1" s="84"/>
      <c r="J1" s="85"/>
      <c r="L1" s="86" t="s">
        <v>71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40" s="8" customFormat="1" x14ac:dyDescent="0.25">
      <c r="A2" s="59" t="s">
        <v>217</v>
      </c>
      <c r="B2" s="87"/>
      <c r="C2" s="88"/>
      <c r="D2" s="9"/>
      <c r="E2" s="68" t="s">
        <v>0</v>
      </c>
      <c r="F2" s="69" t="s">
        <v>193</v>
      </c>
      <c r="G2" s="69" t="s">
        <v>194</v>
      </c>
      <c r="H2" s="69" t="s">
        <v>66</v>
      </c>
      <c r="I2" s="69" t="s">
        <v>73</v>
      </c>
      <c r="J2" s="70" t="s">
        <v>67</v>
      </c>
      <c r="K2" s="10"/>
      <c r="L2" s="73" t="s">
        <v>0</v>
      </c>
      <c r="M2" s="74" t="s">
        <v>13</v>
      </c>
      <c r="N2" s="74"/>
      <c r="O2" s="74"/>
      <c r="P2" s="74"/>
      <c r="Q2" s="74"/>
      <c r="R2" s="74"/>
      <c r="S2" s="74"/>
      <c r="T2" s="74"/>
      <c r="U2" s="74"/>
      <c r="V2" s="75" t="s">
        <v>9</v>
      </c>
      <c r="W2" s="76" t="s">
        <v>9</v>
      </c>
      <c r="X2" s="77" t="s">
        <v>9</v>
      </c>
      <c r="Y2" s="77" t="s">
        <v>9</v>
      </c>
      <c r="Z2" s="77" t="s">
        <v>9</v>
      </c>
      <c r="AA2" s="77" t="s">
        <v>70</v>
      </c>
      <c r="AB2" s="29"/>
      <c r="AC2" s="29"/>
      <c r="AD2" s="29"/>
      <c r="AE2" s="29" t="s">
        <v>9</v>
      </c>
      <c r="AF2" s="30" t="s">
        <v>9</v>
      </c>
      <c r="AG2" s="30" t="s">
        <v>9</v>
      </c>
      <c r="AH2" s="30" t="s">
        <v>9</v>
      </c>
      <c r="AI2" s="30" t="s">
        <v>9</v>
      </c>
      <c r="AJ2" s="30" t="s">
        <v>9</v>
      </c>
      <c r="AK2" s="31">
        <v>0</v>
      </c>
      <c r="AL2" s="29" t="s">
        <v>72</v>
      </c>
      <c r="AM2" s="18" t="e">
        <f>$B$21</f>
        <v>#N/A</v>
      </c>
      <c r="AN2" s="11"/>
    </row>
    <row r="3" spans="1:40" s="8" customFormat="1" x14ac:dyDescent="0.25">
      <c r="A3" s="64" t="s">
        <v>218</v>
      </c>
      <c r="B3" s="89"/>
      <c r="C3" s="90"/>
      <c r="D3" s="9"/>
      <c r="E3" s="71" t="s">
        <v>195</v>
      </c>
      <c r="F3" s="14"/>
      <c r="G3" s="14"/>
      <c r="H3" s="14"/>
      <c r="I3" s="14"/>
      <c r="J3" s="15"/>
      <c r="K3" s="10"/>
      <c r="L3" s="71" t="s">
        <v>195</v>
      </c>
      <c r="M3" s="21">
        <v>1</v>
      </c>
      <c r="N3" s="21" t="str">
        <f>TEXT(($B$6 -DATEVALUE("1/1/"&amp;TEXT($B$6,"yy"))+1),"000")</f>
        <v>-36525</v>
      </c>
      <c r="O3" s="45">
        <f>$B$2/180*PI()</f>
        <v>0</v>
      </c>
      <c r="P3" s="45">
        <f>1+0.033*COS(2*PI()/365*$N3)</f>
        <v>1.0299909820322046</v>
      </c>
      <c r="Q3" s="45">
        <f>0.409*SIN(2*PI()/365*$N3-1.39)</f>
        <v>-0.39632978299589727</v>
      </c>
      <c r="R3" s="45">
        <f>ACOS(-TAN($O3)*TAN($Q3))</f>
        <v>1.5707963267948966</v>
      </c>
      <c r="S3" s="45">
        <f>SIN($O3)*SIN($Q3)</f>
        <v>0</v>
      </c>
      <c r="T3" s="45">
        <f>COS($O3)*COS($Q3)</f>
        <v>0.92248403704994808</v>
      </c>
      <c r="U3" s="45">
        <f>24*60/PI()*0.082*$P3*($R3*$S3+$T3*SIN($R3))</f>
        <v>35.71237668896736</v>
      </c>
      <c r="V3" s="19" t="e">
        <f>0.0023*(AVERAGE($F3:$G3)+17.8)*(($F3-$G3)^0.5)*$U3</f>
        <v>#DIV/0!</v>
      </c>
      <c r="W3" s="20">
        <f>$B$14</f>
        <v>0</v>
      </c>
      <c r="X3" s="21" t="e">
        <f t="shared" ref="X3:X12" si="0" xml:space="preserve"> $B$24 * 1000 * ($B$18 - $B$19) * W3</f>
        <v>#N/A</v>
      </c>
      <c r="Y3" s="21">
        <v>0</v>
      </c>
      <c r="Z3" s="19">
        <f t="shared" ref="Z3:Z12" si="1">H3</f>
        <v>0</v>
      </c>
      <c r="AA3" s="22">
        <v>0</v>
      </c>
      <c r="AB3" s="23" t="e">
        <f>VLOOKUP($B$10,'1-fc'!$A$2:$B$5,2,FALSE)</f>
        <v>#N/A</v>
      </c>
      <c r="AC3" s="23" t="e">
        <f>IF($Z3&gt;0,1,VLOOKUP($B$13,fw!$A$2:$B$8,2,FALSE))</f>
        <v>#N/A</v>
      </c>
      <c r="AD3" s="23" t="e">
        <f>MIN(AB3,AC3)</f>
        <v>#N/A</v>
      </c>
      <c r="AE3" s="23" t="e">
        <f t="shared" ref="AE3:AE12" si="2">IF(Y3&lt;X3,1, (1000 * ($B$18 - $B$19) * W3 - Y3) / (1000 * ($B$18 - $B$19) * W3 - X3))</f>
        <v>#N/A</v>
      </c>
      <c r="AF3" s="23" t="e">
        <f t="shared" ref="AF3:AF12" si="3">$B$25+(0.04*($I3*1000/3600-2)-0.004*(J3-45))*(($B$11/3)^0.3)</f>
        <v>#N/A</v>
      </c>
      <c r="AG3" s="23" t="e">
        <f>IF(Y3&lt;=$B$23,1,IF(Y3&lt;=$B$22,($B$22-Y3)/($B$22-$B$23),1))</f>
        <v>#N/A</v>
      </c>
      <c r="AH3" s="23" t="e">
        <f t="shared" ref="AH3:AH12" si="4" xml:space="preserve"> MAX(1.2 + (0.04 * ($I3*1000/3600 - 2) - 0.004 * ($J3 - 45)) * ($B$11 / 3)^0.3, AF3 + 0.05)</f>
        <v>#N/A</v>
      </c>
      <c r="AI3" s="23" t="e">
        <f>MIN(AG3*(AH3-AF3),AD3*AH3)</f>
        <v>#N/A</v>
      </c>
      <c r="AJ3" s="23" t="e">
        <f>AF3+AI3</f>
        <v>#N/A</v>
      </c>
      <c r="AK3" s="32" t="e">
        <f>AJ3*V3</f>
        <v>#N/A</v>
      </c>
      <c r="AL3" s="36" t="e">
        <f>IF(Z3+AA3-AK2-AM2&gt;0,Z3+AA3-AK2-AM2,0)</f>
        <v>#N/A</v>
      </c>
      <c r="AM3" s="33" t="e">
        <f>AM2-Z3-AA3-0+AK3+AL3</f>
        <v>#N/A</v>
      </c>
      <c r="AN3" s="11"/>
    </row>
    <row r="4" spans="1:40" s="8" customFormat="1" x14ac:dyDescent="0.25">
      <c r="A4" s="64" t="s">
        <v>215</v>
      </c>
      <c r="B4" s="89"/>
      <c r="C4" s="90"/>
      <c r="D4" s="9"/>
      <c r="E4" s="71" t="s">
        <v>58</v>
      </c>
      <c r="F4" s="14"/>
      <c r="G4" s="14"/>
      <c r="H4" s="14"/>
      <c r="I4" s="14"/>
      <c r="J4" s="15"/>
      <c r="K4" s="10"/>
      <c r="L4" s="71" t="s">
        <v>58</v>
      </c>
      <c r="M4" s="21">
        <v>2</v>
      </c>
      <c r="N4" s="21">
        <f>N3+1</f>
        <v>-36524</v>
      </c>
      <c r="O4" s="45">
        <f t="shared" ref="O4:O12" si="5">$B$2/180*PI()</f>
        <v>0</v>
      </c>
      <c r="P4" s="45">
        <f t="shared" ref="P4:P12" si="6">1+0.033*COS(2*PI()/365*$N4)</f>
        <v>1.030223521512821</v>
      </c>
      <c r="Q4" s="45">
        <f t="shared" ref="Q4:Q12" si="7">0.409*SIN(2*PI()/365*$N4-1.39)</f>
        <v>-0.39800984176284265</v>
      </c>
      <c r="R4" s="45">
        <f t="shared" ref="R4:R12" si="8">ACOS(-TAN($O4)*TAN($Q4))</f>
        <v>1.5707963267948966</v>
      </c>
      <c r="S4" s="45">
        <f t="shared" ref="S4:S12" si="9">SIN($O4)*SIN($Q4)</f>
        <v>0</v>
      </c>
      <c r="T4" s="45">
        <f t="shared" ref="T4:T12" si="10">COS($O4)*COS($Q4)</f>
        <v>0.92183417357666853</v>
      </c>
      <c r="U4" s="45">
        <f t="shared" ref="U4:U12" si="11">24*60/PI()*0.082*$P4*($R4*$S4+$T4*SIN($R4))</f>
        <v>35.695275395109398</v>
      </c>
      <c r="V4" s="19" t="e">
        <f t="shared" ref="V4:V12" si="12">0.0023*(AVERAGE($F4:$G4)+17.8)*(($F4-$G4)^0.5)*$U4</f>
        <v>#DIV/0!</v>
      </c>
      <c r="W4" s="20">
        <f t="shared" ref="W4:W11" si="13">($W$12-$W$3)/COUNT($M$4:$M$12)+$W3</f>
        <v>0</v>
      </c>
      <c r="X4" s="21" t="e">
        <f t="shared" si="0"/>
        <v>#N/A</v>
      </c>
      <c r="Y4" s="21" t="e">
        <f>IF(Z4&gt;0,MAX(AM3-Z4,0),AM3)</f>
        <v>#N/A</v>
      </c>
      <c r="Z4" s="19">
        <f t="shared" si="1"/>
        <v>0</v>
      </c>
      <c r="AA4" s="22" t="e">
        <f>IF(Y4 &gt;= X4,X4,0)</f>
        <v>#N/A</v>
      </c>
      <c r="AB4" s="23" t="e">
        <f>AB3</f>
        <v>#N/A</v>
      </c>
      <c r="AC4" s="23" t="e">
        <f>IF($Z4&gt;0,1,VLOOKUP($B$13,fw!$A$2:$B$8,2,FALSE))</f>
        <v>#N/A</v>
      </c>
      <c r="AD4" s="23" t="e">
        <f t="shared" ref="AD4:AD12" si="14">MIN(AB4,AC4)</f>
        <v>#N/A</v>
      </c>
      <c r="AE4" s="23" t="e">
        <f t="shared" si="2"/>
        <v>#N/A</v>
      </c>
      <c r="AF4" s="23" t="e">
        <f t="shared" si="3"/>
        <v>#N/A</v>
      </c>
      <c r="AG4" s="23" t="e">
        <f t="shared" ref="AG4:AG12" si="15">IF(Y4&lt;=$B$23,1,IF(Y4&lt;=$B$22,($B$22-Y4)/($B$22-$B$23),1))</f>
        <v>#N/A</v>
      </c>
      <c r="AH4" s="23" t="e">
        <f t="shared" si="4"/>
        <v>#N/A</v>
      </c>
      <c r="AI4" s="23" t="e">
        <f t="shared" ref="AI4:AI12" si="16">MIN(AG4*(AH4-AF4),AD4*AH4)</f>
        <v>#N/A</v>
      </c>
      <c r="AJ4" s="23" t="e">
        <f t="shared" ref="AJ4:AJ12" si="17">AF4+AI4</f>
        <v>#N/A</v>
      </c>
      <c r="AK4" s="32" t="e">
        <f t="shared" ref="AK4:AK12" si="18">AJ4*V4</f>
        <v>#N/A</v>
      </c>
      <c r="AL4" s="36" t="e">
        <f t="shared" ref="AL4:AL12" si="19">IF(Z4+AA4-AK4-AM3&gt;0,Z4+AA4-AK4-AM3,0)</f>
        <v>#N/A</v>
      </c>
      <c r="AM4" s="33" t="e">
        <f t="shared" ref="AM4:AM12" si="20">AM3-Z4-AA4-0+AK4+AL4</f>
        <v>#N/A</v>
      </c>
      <c r="AN4" s="11"/>
    </row>
    <row r="5" spans="1:40" s="8" customFormat="1" x14ac:dyDescent="0.25">
      <c r="A5" s="91" t="s">
        <v>203</v>
      </c>
      <c r="B5" s="92"/>
      <c r="C5" s="93"/>
      <c r="D5" s="9"/>
      <c r="E5" s="71" t="s">
        <v>57</v>
      </c>
      <c r="F5" s="14"/>
      <c r="G5" s="14"/>
      <c r="H5" s="14"/>
      <c r="I5" s="14"/>
      <c r="J5" s="15"/>
      <c r="K5" s="10"/>
      <c r="L5" s="71" t="s">
        <v>57</v>
      </c>
      <c r="M5" s="21">
        <v>3</v>
      </c>
      <c r="N5" s="21">
        <f t="shared" ref="N5:N12" si="21">N4+1</f>
        <v>-36523</v>
      </c>
      <c r="O5" s="45">
        <f t="shared" si="5"/>
        <v>0</v>
      </c>
      <c r="P5" s="45">
        <f t="shared" si="6"/>
        <v>1.0304471051117374</v>
      </c>
      <c r="Q5" s="45">
        <f t="shared" si="7"/>
        <v>-0.39957196162392827</v>
      </c>
      <c r="R5" s="45">
        <f t="shared" si="8"/>
        <v>1.5707963267948966</v>
      </c>
      <c r="S5" s="45">
        <f t="shared" si="9"/>
        <v>0</v>
      </c>
      <c r="T5" s="45">
        <f t="shared" si="10"/>
        <v>0.92122759561570311</v>
      </c>
      <c r="U5" s="45">
        <f t="shared" si="11"/>
        <v>35.679529121857726</v>
      </c>
      <c r="V5" s="19" t="e">
        <f t="shared" si="12"/>
        <v>#DIV/0!</v>
      </c>
      <c r="W5" s="20">
        <f t="shared" si="13"/>
        <v>0</v>
      </c>
      <c r="X5" s="21" t="e">
        <f t="shared" si="0"/>
        <v>#N/A</v>
      </c>
      <c r="Y5" s="21" t="e">
        <f t="shared" ref="Y5:Y12" si="22">IF(Z5&gt;0,MAX(AM4-Z5,0),AM4)</f>
        <v>#N/A</v>
      </c>
      <c r="Z5" s="19">
        <f t="shared" si="1"/>
        <v>0</v>
      </c>
      <c r="AA5" s="22" t="e">
        <f t="shared" ref="AA5:AA12" si="23">IF(Y5 &gt;= X5,X5,0)</f>
        <v>#N/A</v>
      </c>
      <c r="AB5" s="23" t="e">
        <f t="shared" ref="AB5:AB12" si="24">AB4</f>
        <v>#N/A</v>
      </c>
      <c r="AC5" s="23" t="e">
        <f>IF($Z5&gt;0,1,VLOOKUP($B$13,fw!$A$2:$B$8,2,FALSE))</f>
        <v>#N/A</v>
      </c>
      <c r="AD5" s="23" t="e">
        <f t="shared" si="14"/>
        <v>#N/A</v>
      </c>
      <c r="AE5" s="23" t="e">
        <f t="shared" si="2"/>
        <v>#N/A</v>
      </c>
      <c r="AF5" s="23" t="e">
        <f t="shared" si="3"/>
        <v>#N/A</v>
      </c>
      <c r="AG5" s="23" t="e">
        <f t="shared" si="15"/>
        <v>#N/A</v>
      </c>
      <c r="AH5" s="23" t="e">
        <f t="shared" si="4"/>
        <v>#N/A</v>
      </c>
      <c r="AI5" s="23" t="e">
        <f t="shared" si="16"/>
        <v>#N/A</v>
      </c>
      <c r="AJ5" s="23" t="e">
        <f t="shared" si="17"/>
        <v>#N/A</v>
      </c>
      <c r="AK5" s="32" t="e">
        <f t="shared" si="18"/>
        <v>#N/A</v>
      </c>
      <c r="AL5" s="36" t="e">
        <f t="shared" si="19"/>
        <v>#N/A</v>
      </c>
      <c r="AM5" s="33" t="e">
        <f t="shared" si="20"/>
        <v>#N/A</v>
      </c>
      <c r="AN5" s="11"/>
    </row>
    <row r="6" spans="1:40" s="8" customFormat="1" x14ac:dyDescent="0.25">
      <c r="A6" s="56" t="s">
        <v>216</v>
      </c>
      <c r="B6" s="94"/>
      <c r="C6" s="95"/>
      <c r="D6" s="9"/>
      <c r="E6" s="71" t="s">
        <v>59</v>
      </c>
      <c r="F6" s="14"/>
      <c r="G6" s="14"/>
      <c r="H6" s="14"/>
      <c r="I6" s="14"/>
      <c r="J6" s="15"/>
      <c r="K6" s="10"/>
      <c r="L6" s="71" t="s">
        <v>59</v>
      </c>
      <c r="M6" s="21">
        <v>4</v>
      </c>
      <c r="N6" s="21">
        <f t="shared" si="21"/>
        <v>-36522</v>
      </c>
      <c r="O6" s="45">
        <f t="shared" si="5"/>
        <v>0</v>
      </c>
      <c r="P6" s="45">
        <f t="shared" si="6"/>
        <v>1.0306616665763055</v>
      </c>
      <c r="Q6" s="45">
        <f t="shared" si="7"/>
        <v>-0.40101567968930535</v>
      </c>
      <c r="R6" s="45">
        <f t="shared" si="8"/>
        <v>1.5707963267948966</v>
      </c>
      <c r="S6" s="45">
        <f t="shared" si="9"/>
        <v>0</v>
      </c>
      <c r="T6" s="45">
        <f t="shared" si="10"/>
        <v>0.92066499468433438</v>
      </c>
      <c r="U6" s="45">
        <f t="shared" si="11"/>
        <v>35.665164068744168</v>
      </c>
      <c r="V6" s="19" t="e">
        <f t="shared" si="12"/>
        <v>#DIV/0!</v>
      </c>
      <c r="W6" s="20">
        <f t="shared" si="13"/>
        <v>0</v>
      </c>
      <c r="X6" s="21" t="e">
        <f t="shared" si="0"/>
        <v>#N/A</v>
      </c>
      <c r="Y6" s="21" t="e">
        <f t="shared" si="22"/>
        <v>#N/A</v>
      </c>
      <c r="Z6" s="19">
        <f t="shared" si="1"/>
        <v>0</v>
      </c>
      <c r="AA6" s="22" t="e">
        <f t="shared" si="23"/>
        <v>#N/A</v>
      </c>
      <c r="AB6" s="23" t="e">
        <f t="shared" si="24"/>
        <v>#N/A</v>
      </c>
      <c r="AC6" s="23" t="e">
        <f>IF($Z6&gt;0,1,VLOOKUP($B$13,fw!$A$2:$B$8,2,FALSE))</f>
        <v>#N/A</v>
      </c>
      <c r="AD6" s="23" t="e">
        <f t="shared" si="14"/>
        <v>#N/A</v>
      </c>
      <c r="AE6" s="23" t="e">
        <f t="shared" si="2"/>
        <v>#N/A</v>
      </c>
      <c r="AF6" s="23" t="e">
        <f t="shared" si="3"/>
        <v>#N/A</v>
      </c>
      <c r="AG6" s="23" t="e">
        <f t="shared" si="15"/>
        <v>#N/A</v>
      </c>
      <c r="AH6" s="23" t="e">
        <f t="shared" si="4"/>
        <v>#N/A</v>
      </c>
      <c r="AI6" s="23" t="e">
        <f t="shared" si="16"/>
        <v>#N/A</v>
      </c>
      <c r="AJ6" s="23" t="e">
        <f t="shared" si="17"/>
        <v>#N/A</v>
      </c>
      <c r="AK6" s="32" t="e">
        <f t="shared" si="18"/>
        <v>#N/A</v>
      </c>
      <c r="AL6" s="36" t="e">
        <f t="shared" si="19"/>
        <v>#N/A</v>
      </c>
      <c r="AM6" s="33" t="e">
        <f t="shared" si="20"/>
        <v>#N/A</v>
      </c>
      <c r="AN6" s="11"/>
    </row>
    <row r="7" spans="1:40" s="8" customFormat="1" x14ac:dyDescent="0.25">
      <c r="A7" s="80" t="s">
        <v>56</v>
      </c>
      <c r="B7" s="81"/>
      <c r="C7" s="96"/>
      <c r="D7" s="9"/>
      <c r="E7" s="71" t="s">
        <v>60</v>
      </c>
      <c r="F7" s="14"/>
      <c r="G7" s="14"/>
      <c r="H7" s="14"/>
      <c r="I7" s="14"/>
      <c r="J7" s="15"/>
      <c r="K7" s="10"/>
      <c r="L7" s="71" t="s">
        <v>60</v>
      </c>
      <c r="M7" s="21">
        <v>5</v>
      </c>
      <c r="N7" s="21">
        <f t="shared" si="21"/>
        <v>-36521</v>
      </c>
      <c r="O7" s="45">
        <f t="shared" si="5"/>
        <v>0</v>
      </c>
      <c r="P7" s="45">
        <f t="shared" si="6"/>
        <v>1.0308671423273343</v>
      </c>
      <c r="Q7" s="45">
        <f t="shared" si="7"/>
        <v>-0.40234056815416386</v>
      </c>
      <c r="R7" s="45">
        <f t="shared" si="8"/>
        <v>1.5707963267948966</v>
      </c>
      <c r="S7" s="45">
        <f t="shared" si="9"/>
        <v>0</v>
      </c>
      <c r="T7" s="45">
        <f t="shared" si="10"/>
        <v>0.92014701176011338</v>
      </c>
      <c r="U7" s="45">
        <f t="shared" si="11"/>
        <v>35.652204508656602</v>
      </c>
      <c r="V7" s="19" t="e">
        <f t="shared" si="12"/>
        <v>#DIV/0!</v>
      </c>
      <c r="W7" s="20">
        <f t="shared" si="13"/>
        <v>0</v>
      </c>
      <c r="X7" s="21" t="e">
        <f t="shared" si="0"/>
        <v>#N/A</v>
      </c>
      <c r="Y7" s="21" t="e">
        <f t="shared" si="22"/>
        <v>#N/A</v>
      </c>
      <c r="Z7" s="19">
        <f t="shared" si="1"/>
        <v>0</v>
      </c>
      <c r="AA7" s="22" t="e">
        <f t="shared" si="23"/>
        <v>#N/A</v>
      </c>
      <c r="AB7" s="23" t="e">
        <f t="shared" si="24"/>
        <v>#N/A</v>
      </c>
      <c r="AC7" s="23" t="e">
        <f>IF($Z7&gt;0,1,VLOOKUP($B$13,fw!$A$2:$B$8,2,FALSE))</f>
        <v>#N/A</v>
      </c>
      <c r="AD7" s="23" t="e">
        <f t="shared" si="14"/>
        <v>#N/A</v>
      </c>
      <c r="AE7" s="23" t="e">
        <f t="shared" si="2"/>
        <v>#N/A</v>
      </c>
      <c r="AF7" s="23" t="e">
        <f t="shared" si="3"/>
        <v>#N/A</v>
      </c>
      <c r="AG7" s="23" t="e">
        <f t="shared" si="15"/>
        <v>#N/A</v>
      </c>
      <c r="AH7" s="23" t="e">
        <f t="shared" si="4"/>
        <v>#N/A</v>
      </c>
      <c r="AI7" s="23" t="e">
        <f t="shared" si="16"/>
        <v>#N/A</v>
      </c>
      <c r="AJ7" s="23" t="e">
        <f t="shared" si="17"/>
        <v>#N/A</v>
      </c>
      <c r="AK7" s="32" t="e">
        <f t="shared" si="18"/>
        <v>#N/A</v>
      </c>
      <c r="AL7" s="36" t="e">
        <f t="shared" si="19"/>
        <v>#N/A</v>
      </c>
      <c r="AM7" s="33" t="e">
        <f t="shared" si="20"/>
        <v>#N/A</v>
      </c>
      <c r="AN7" s="11"/>
    </row>
    <row r="8" spans="1:40" x14ac:dyDescent="0.25">
      <c r="A8" s="78" t="s">
        <v>48</v>
      </c>
      <c r="B8" s="79" t="s">
        <v>49</v>
      </c>
      <c r="C8" s="79" t="s">
        <v>54</v>
      </c>
      <c r="E8" s="71" t="s">
        <v>61</v>
      </c>
      <c r="F8" s="14"/>
      <c r="G8" s="14"/>
      <c r="H8" s="14"/>
      <c r="I8" s="14"/>
      <c r="J8" s="15"/>
      <c r="L8" s="71" t="s">
        <v>61</v>
      </c>
      <c r="M8" s="21">
        <v>6</v>
      </c>
      <c r="N8" s="21">
        <f t="shared" si="21"/>
        <v>-36520</v>
      </c>
      <c r="O8" s="45">
        <f t="shared" si="5"/>
        <v>0</v>
      </c>
      <c r="P8" s="45">
        <f t="shared" si="6"/>
        <v>1.0310634714779252</v>
      </c>
      <c r="Q8" s="45">
        <f t="shared" si="7"/>
        <v>-0.40354623442546578</v>
      </c>
      <c r="R8" s="45">
        <f t="shared" si="8"/>
        <v>1.5707963267948966</v>
      </c>
      <c r="S8" s="45">
        <f t="shared" si="9"/>
        <v>0</v>
      </c>
      <c r="T8" s="45">
        <f t="shared" si="10"/>
        <v>0.91967423664244041</v>
      </c>
      <c r="U8" s="45">
        <f t="shared" si="11"/>
        <v>35.640672758189517</v>
      </c>
      <c r="V8" s="19" t="e">
        <f t="shared" si="12"/>
        <v>#DIV/0!</v>
      </c>
      <c r="W8" s="20">
        <f t="shared" si="13"/>
        <v>0</v>
      </c>
      <c r="X8" s="21" t="e">
        <f t="shared" si="0"/>
        <v>#N/A</v>
      </c>
      <c r="Y8" s="21" t="e">
        <f t="shared" si="22"/>
        <v>#N/A</v>
      </c>
      <c r="Z8" s="19">
        <f t="shared" si="1"/>
        <v>0</v>
      </c>
      <c r="AA8" s="22" t="e">
        <f t="shared" si="23"/>
        <v>#N/A</v>
      </c>
      <c r="AB8" s="23" t="e">
        <f t="shared" si="24"/>
        <v>#N/A</v>
      </c>
      <c r="AC8" s="23" t="e">
        <f>IF($Z8&gt;0,1,VLOOKUP($B$13,fw!$A$2:$B$8,2,FALSE))</f>
        <v>#N/A</v>
      </c>
      <c r="AD8" s="23" t="e">
        <f t="shared" si="14"/>
        <v>#N/A</v>
      </c>
      <c r="AE8" s="23" t="e">
        <f t="shared" si="2"/>
        <v>#N/A</v>
      </c>
      <c r="AF8" s="23" t="e">
        <f t="shared" si="3"/>
        <v>#N/A</v>
      </c>
      <c r="AG8" s="23" t="e">
        <f t="shared" si="15"/>
        <v>#N/A</v>
      </c>
      <c r="AH8" s="23" t="e">
        <f t="shared" si="4"/>
        <v>#N/A</v>
      </c>
      <c r="AI8" s="23" t="e">
        <f t="shared" si="16"/>
        <v>#N/A</v>
      </c>
      <c r="AJ8" s="23" t="e">
        <f t="shared" si="17"/>
        <v>#N/A</v>
      </c>
      <c r="AK8" s="32" t="e">
        <f t="shared" si="18"/>
        <v>#N/A</v>
      </c>
      <c r="AL8" s="36" t="e">
        <f t="shared" si="19"/>
        <v>#N/A</v>
      </c>
      <c r="AM8" s="33" t="e">
        <f t="shared" si="20"/>
        <v>#N/A</v>
      </c>
    </row>
    <row r="9" spans="1:40" x14ac:dyDescent="0.25">
      <c r="A9" s="59" t="s">
        <v>211</v>
      </c>
      <c r="B9" s="12"/>
      <c r="C9" s="62" t="s">
        <v>55</v>
      </c>
      <c r="E9" s="71" t="s">
        <v>62</v>
      </c>
      <c r="F9" s="14"/>
      <c r="G9" s="14"/>
      <c r="H9" s="14"/>
      <c r="I9" s="14"/>
      <c r="J9" s="15"/>
      <c r="L9" s="71" t="s">
        <v>62</v>
      </c>
      <c r="M9" s="21">
        <v>7</v>
      </c>
      <c r="N9" s="21">
        <f t="shared" si="21"/>
        <v>-36519</v>
      </c>
      <c r="O9" s="45">
        <f t="shared" si="5"/>
        <v>0</v>
      </c>
      <c r="P9" s="45">
        <f t="shared" si="6"/>
        <v>1.0312505958515112</v>
      </c>
      <c r="Q9" s="45">
        <f t="shared" si="7"/>
        <v>-0.40463232123825854</v>
      </c>
      <c r="R9" s="45">
        <f t="shared" si="8"/>
        <v>1.5707963267948966</v>
      </c>
      <c r="S9" s="45">
        <f t="shared" si="9"/>
        <v>0</v>
      </c>
      <c r="T9" s="45">
        <f t="shared" si="10"/>
        <v>0.91924720736677068</v>
      </c>
      <c r="U9" s="45">
        <f t="shared" si="11"/>
        <v>35.630589150275377</v>
      </c>
      <c r="V9" s="19" t="e">
        <f t="shared" si="12"/>
        <v>#DIV/0!</v>
      </c>
      <c r="W9" s="20">
        <f t="shared" si="13"/>
        <v>0</v>
      </c>
      <c r="X9" s="21" t="e">
        <f t="shared" si="0"/>
        <v>#N/A</v>
      </c>
      <c r="Y9" s="21" t="e">
        <f t="shared" si="22"/>
        <v>#N/A</v>
      </c>
      <c r="Z9" s="19">
        <f t="shared" si="1"/>
        <v>0</v>
      </c>
      <c r="AA9" s="22" t="e">
        <f t="shared" si="23"/>
        <v>#N/A</v>
      </c>
      <c r="AB9" s="23" t="e">
        <f t="shared" si="24"/>
        <v>#N/A</v>
      </c>
      <c r="AC9" s="23" t="e">
        <f>IF($Z9&gt;0,1,VLOOKUP($B$13,fw!$A$2:$B$8,2,FALSE))</f>
        <v>#N/A</v>
      </c>
      <c r="AD9" s="23" t="e">
        <f t="shared" si="14"/>
        <v>#N/A</v>
      </c>
      <c r="AE9" s="23" t="e">
        <f t="shared" si="2"/>
        <v>#N/A</v>
      </c>
      <c r="AF9" s="23" t="e">
        <f t="shared" si="3"/>
        <v>#N/A</v>
      </c>
      <c r="AG9" s="23" t="e">
        <f t="shared" si="15"/>
        <v>#N/A</v>
      </c>
      <c r="AH9" s="23" t="e">
        <f t="shared" si="4"/>
        <v>#N/A</v>
      </c>
      <c r="AI9" s="23" t="e">
        <f t="shared" si="16"/>
        <v>#N/A</v>
      </c>
      <c r="AJ9" s="23" t="e">
        <f t="shared" si="17"/>
        <v>#N/A</v>
      </c>
      <c r="AK9" s="32" t="e">
        <f t="shared" si="18"/>
        <v>#N/A</v>
      </c>
      <c r="AL9" s="36" t="e">
        <f t="shared" si="19"/>
        <v>#N/A</v>
      </c>
      <c r="AM9" s="33" t="e">
        <f t="shared" si="20"/>
        <v>#N/A</v>
      </c>
    </row>
    <row r="10" spans="1:40" x14ac:dyDescent="0.25">
      <c r="A10" s="59" t="s">
        <v>212</v>
      </c>
      <c r="B10" s="12"/>
      <c r="C10" s="62" t="s">
        <v>55</v>
      </c>
      <c r="E10" s="71" t="s">
        <v>63</v>
      </c>
      <c r="F10" s="14"/>
      <c r="G10" s="14"/>
      <c r="H10" s="14"/>
      <c r="I10" s="14"/>
      <c r="J10" s="15"/>
      <c r="L10" s="71" t="s">
        <v>63</v>
      </c>
      <c r="M10" s="21">
        <v>8</v>
      </c>
      <c r="N10" s="21">
        <f t="shared" si="21"/>
        <v>-36518</v>
      </c>
      <c r="O10" s="45">
        <f t="shared" si="5"/>
        <v>0</v>
      </c>
      <c r="P10" s="45">
        <f t="shared" si="6"/>
        <v>1.0314284599991035</v>
      </c>
      <c r="Q10" s="45">
        <f t="shared" si="7"/>
        <v>-0.40559850676158826</v>
      </c>
      <c r="R10" s="45">
        <f t="shared" si="8"/>
        <v>1.5707963267948966</v>
      </c>
      <c r="S10" s="45">
        <f t="shared" si="9"/>
        <v>0</v>
      </c>
      <c r="T10" s="45">
        <f t="shared" si="10"/>
        <v>0.91886640967159139</v>
      </c>
      <c r="U10" s="45">
        <f t="shared" si="11"/>
        <v>35.621972009116561</v>
      </c>
      <c r="V10" s="19" t="e">
        <f t="shared" si="12"/>
        <v>#DIV/0!</v>
      </c>
      <c r="W10" s="20">
        <f t="shared" si="13"/>
        <v>0</v>
      </c>
      <c r="X10" s="21" t="e">
        <f t="shared" si="0"/>
        <v>#N/A</v>
      </c>
      <c r="Y10" s="21" t="e">
        <f t="shared" si="22"/>
        <v>#N/A</v>
      </c>
      <c r="Z10" s="19">
        <f t="shared" si="1"/>
        <v>0</v>
      </c>
      <c r="AA10" s="22" t="e">
        <f t="shared" si="23"/>
        <v>#N/A</v>
      </c>
      <c r="AB10" s="23" t="e">
        <f t="shared" si="24"/>
        <v>#N/A</v>
      </c>
      <c r="AC10" s="23" t="e">
        <f>IF($Z10&gt;0,1,VLOOKUP($B$13,fw!$A$2:$B$8,2,FALSE))</f>
        <v>#N/A</v>
      </c>
      <c r="AD10" s="23" t="e">
        <f t="shared" si="14"/>
        <v>#N/A</v>
      </c>
      <c r="AE10" s="23" t="e">
        <f t="shared" si="2"/>
        <v>#N/A</v>
      </c>
      <c r="AF10" s="23" t="e">
        <f t="shared" si="3"/>
        <v>#N/A</v>
      </c>
      <c r="AG10" s="23" t="e">
        <f t="shared" si="15"/>
        <v>#N/A</v>
      </c>
      <c r="AH10" s="23" t="e">
        <f t="shared" si="4"/>
        <v>#N/A</v>
      </c>
      <c r="AI10" s="23" t="e">
        <f t="shared" si="16"/>
        <v>#N/A</v>
      </c>
      <c r="AJ10" s="23" t="e">
        <f t="shared" si="17"/>
        <v>#N/A</v>
      </c>
      <c r="AK10" s="32" t="e">
        <f t="shared" si="18"/>
        <v>#N/A</v>
      </c>
      <c r="AL10" s="36" t="e">
        <f t="shared" si="19"/>
        <v>#N/A</v>
      </c>
      <c r="AM10" s="33" t="e">
        <f t="shared" si="20"/>
        <v>#N/A</v>
      </c>
    </row>
    <row r="11" spans="1:40" x14ac:dyDescent="0.25">
      <c r="A11" s="59" t="s">
        <v>219</v>
      </c>
      <c r="B11" s="13"/>
      <c r="C11" s="62" t="s">
        <v>7</v>
      </c>
      <c r="E11" s="71" t="s">
        <v>64</v>
      </c>
      <c r="F11" s="14"/>
      <c r="G11" s="14"/>
      <c r="H11" s="14"/>
      <c r="I11" s="14"/>
      <c r="J11" s="15"/>
      <c r="L11" s="71" t="s">
        <v>64</v>
      </c>
      <c r="M11" s="21">
        <v>9</v>
      </c>
      <c r="N11" s="21">
        <f t="shared" si="21"/>
        <v>-36517</v>
      </c>
      <c r="O11" s="45">
        <f t="shared" si="5"/>
        <v>0</v>
      </c>
      <c r="P11" s="45">
        <f t="shared" si="6"/>
        <v>1.0315970112157173</v>
      </c>
      <c r="Q11" s="45">
        <f t="shared" si="7"/>
        <v>-0.40644450469383764</v>
      </c>
      <c r="R11" s="45">
        <f t="shared" si="8"/>
        <v>1.5707963267948966</v>
      </c>
      <c r="S11" s="45">
        <f t="shared" si="9"/>
        <v>0</v>
      </c>
      <c r="T11" s="45">
        <f t="shared" si="10"/>
        <v>0.9185322765183741</v>
      </c>
      <c r="U11" s="45">
        <f t="shared" si="11"/>
        <v>35.61483762743805</v>
      </c>
      <c r="V11" s="19" t="e">
        <f t="shared" si="12"/>
        <v>#DIV/0!</v>
      </c>
      <c r="W11" s="20">
        <f t="shared" si="13"/>
        <v>0</v>
      </c>
      <c r="X11" s="21" t="e">
        <f t="shared" si="0"/>
        <v>#N/A</v>
      </c>
      <c r="Y11" s="21" t="e">
        <f t="shared" si="22"/>
        <v>#N/A</v>
      </c>
      <c r="Z11" s="19">
        <f t="shared" si="1"/>
        <v>0</v>
      </c>
      <c r="AA11" s="22" t="e">
        <f t="shared" si="23"/>
        <v>#N/A</v>
      </c>
      <c r="AB11" s="23" t="e">
        <f t="shared" si="24"/>
        <v>#N/A</v>
      </c>
      <c r="AC11" s="23" t="e">
        <f>IF($Z11&gt;0,1,VLOOKUP($B$13,fw!$A$2:$B$8,2,FALSE))</f>
        <v>#N/A</v>
      </c>
      <c r="AD11" s="23" t="e">
        <f t="shared" si="14"/>
        <v>#N/A</v>
      </c>
      <c r="AE11" s="23" t="e">
        <f t="shared" si="2"/>
        <v>#N/A</v>
      </c>
      <c r="AF11" s="23" t="e">
        <f t="shared" si="3"/>
        <v>#N/A</v>
      </c>
      <c r="AG11" s="23" t="e">
        <f t="shared" si="15"/>
        <v>#N/A</v>
      </c>
      <c r="AH11" s="23" t="e">
        <f t="shared" si="4"/>
        <v>#N/A</v>
      </c>
      <c r="AI11" s="23" t="e">
        <f t="shared" si="16"/>
        <v>#N/A</v>
      </c>
      <c r="AJ11" s="23" t="e">
        <f t="shared" si="17"/>
        <v>#N/A</v>
      </c>
      <c r="AK11" s="32" t="e">
        <f t="shared" si="18"/>
        <v>#N/A</v>
      </c>
      <c r="AL11" s="36" t="e">
        <f t="shared" si="19"/>
        <v>#N/A</v>
      </c>
      <c r="AM11" s="33" t="e">
        <f t="shared" si="20"/>
        <v>#N/A</v>
      </c>
    </row>
    <row r="12" spans="1:40" x14ac:dyDescent="0.25">
      <c r="A12" s="59" t="s">
        <v>213</v>
      </c>
      <c r="B12" s="12"/>
      <c r="C12" s="62" t="s">
        <v>55</v>
      </c>
      <c r="E12" s="72" t="s">
        <v>65</v>
      </c>
      <c r="F12" s="16"/>
      <c r="G12" s="16"/>
      <c r="H12" s="16"/>
      <c r="I12" s="16"/>
      <c r="J12" s="17"/>
      <c r="L12" s="72" t="s">
        <v>65</v>
      </c>
      <c r="M12" s="28">
        <v>10</v>
      </c>
      <c r="N12" s="28">
        <f t="shared" si="21"/>
        <v>-36516</v>
      </c>
      <c r="O12" s="46">
        <f t="shared" si="5"/>
        <v>0</v>
      </c>
      <c r="P12" s="46">
        <f t="shared" si="6"/>
        <v>1.0317561995559874</v>
      </c>
      <c r="Q12" s="46">
        <f t="shared" si="7"/>
        <v>-0.40717006434754993</v>
      </c>
      <c r="R12" s="46">
        <f t="shared" si="8"/>
        <v>1.5707963267948966</v>
      </c>
      <c r="S12" s="46">
        <f t="shared" si="9"/>
        <v>0</v>
      </c>
      <c r="T12" s="46">
        <f t="shared" si="10"/>
        <v>0.91824518766459251</v>
      </c>
      <c r="U12" s="46">
        <f t="shared" si="11"/>
        <v>35.609200246077009</v>
      </c>
      <c r="V12" s="47" t="e">
        <f t="shared" si="12"/>
        <v>#DIV/0!</v>
      </c>
      <c r="W12" s="25">
        <f>$B$15</f>
        <v>0</v>
      </c>
      <c r="X12" s="28" t="e">
        <f t="shared" si="0"/>
        <v>#N/A</v>
      </c>
      <c r="Y12" s="28" t="e">
        <f t="shared" si="22"/>
        <v>#N/A</v>
      </c>
      <c r="Z12" s="24">
        <f t="shared" si="1"/>
        <v>0</v>
      </c>
      <c r="AA12" s="26" t="e">
        <f t="shared" si="23"/>
        <v>#N/A</v>
      </c>
      <c r="AB12" s="27" t="e">
        <f t="shared" si="24"/>
        <v>#N/A</v>
      </c>
      <c r="AC12" s="23" t="e">
        <f>IF($Z12&gt;0,1,VLOOKUP($B$13,fw!$A$2:$B$8,2,FALSE))</f>
        <v>#N/A</v>
      </c>
      <c r="AD12" s="27" t="e">
        <f t="shared" si="14"/>
        <v>#N/A</v>
      </c>
      <c r="AE12" s="27" t="e">
        <f t="shared" si="2"/>
        <v>#N/A</v>
      </c>
      <c r="AF12" s="23" t="e">
        <f t="shared" si="3"/>
        <v>#N/A</v>
      </c>
      <c r="AG12" s="27" t="e">
        <f t="shared" si="15"/>
        <v>#N/A</v>
      </c>
      <c r="AH12" s="27" t="e">
        <f t="shared" si="4"/>
        <v>#N/A</v>
      </c>
      <c r="AI12" s="27" t="e">
        <f t="shared" si="16"/>
        <v>#N/A</v>
      </c>
      <c r="AJ12" s="27" t="e">
        <f t="shared" si="17"/>
        <v>#N/A</v>
      </c>
      <c r="AK12" s="34" t="e">
        <f t="shared" si="18"/>
        <v>#N/A</v>
      </c>
      <c r="AL12" s="37" t="e">
        <f t="shared" si="19"/>
        <v>#N/A</v>
      </c>
      <c r="AM12" s="35" t="e">
        <f t="shared" si="20"/>
        <v>#N/A</v>
      </c>
    </row>
    <row r="13" spans="1:40" s="8" customFormat="1" x14ac:dyDescent="0.25">
      <c r="A13" s="59" t="s">
        <v>214</v>
      </c>
      <c r="B13" s="12"/>
      <c r="C13" s="62" t="s">
        <v>55</v>
      </c>
      <c r="D13" s="9"/>
      <c r="E13" s="9"/>
      <c r="F13" s="9"/>
      <c r="G13" s="9"/>
      <c r="H13" s="9"/>
      <c r="I13" s="9"/>
      <c r="J13" s="9"/>
      <c r="K13" s="9"/>
      <c r="L13" s="9"/>
      <c r="M13" s="97" t="s">
        <v>0</v>
      </c>
      <c r="N13" s="49" t="s">
        <v>204</v>
      </c>
      <c r="O13" s="49" t="s">
        <v>205</v>
      </c>
      <c r="P13" s="49" t="s">
        <v>206</v>
      </c>
      <c r="Q13" s="49" t="s">
        <v>207</v>
      </c>
      <c r="R13" s="49" t="s">
        <v>208</v>
      </c>
      <c r="S13" s="49" t="s">
        <v>209</v>
      </c>
      <c r="T13" s="49" t="s">
        <v>210</v>
      </c>
      <c r="U13" s="49" t="s">
        <v>202</v>
      </c>
      <c r="V13" s="5" t="s">
        <v>25</v>
      </c>
      <c r="W13" s="6" t="s">
        <v>1</v>
      </c>
      <c r="X13" s="49" t="s">
        <v>2</v>
      </c>
      <c r="Y13" s="49" t="s">
        <v>10</v>
      </c>
      <c r="Z13" s="49" t="s">
        <v>24</v>
      </c>
      <c r="AA13" s="7"/>
      <c r="AB13" s="40" t="s">
        <v>15</v>
      </c>
      <c r="AC13" s="40" t="s">
        <v>16</v>
      </c>
      <c r="AD13" s="40" t="s">
        <v>17</v>
      </c>
      <c r="AE13" s="40" t="s">
        <v>3</v>
      </c>
      <c r="AF13" s="41" t="s">
        <v>4</v>
      </c>
      <c r="AG13" s="41" t="s">
        <v>14</v>
      </c>
      <c r="AH13" s="41" t="s">
        <v>19</v>
      </c>
      <c r="AI13" s="41" t="s">
        <v>5</v>
      </c>
      <c r="AJ13" s="41" t="s">
        <v>6</v>
      </c>
      <c r="AK13" s="42" t="s">
        <v>18</v>
      </c>
      <c r="AL13" s="39"/>
      <c r="AM13" s="40" t="s">
        <v>11</v>
      </c>
      <c r="AN13" s="11"/>
    </row>
    <row r="14" spans="1:40" s="8" customFormat="1" ht="15" customHeight="1" x14ac:dyDescent="0.25">
      <c r="A14" s="60" t="s">
        <v>220</v>
      </c>
      <c r="B14" s="13"/>
      <c r="C14" s="62" t="s">
        <v>7</v>
      </c>
      <c r="D14" s="9"/>
      <c r="E14" s="98" t="s">
        <v>196</v>
      </c>
      <c r="F14" s="98"/>
      <c r="G14" s="98"/>
      <c r="H14" s="98"/>
      <c r="I14" s="98"/>
      <c r="J14" s="98"/>
      <c r="K14" s="9"/>
      <c r="L14" s="9"/>
      <c r="M14" s="97"/>
      <c r="N14" s="49"/>
      <c r="O14" s="49"/>
      <c r="P14" s="49"/>
      <c r="Q14" s="49"/>
      <c r="R14" s="49"/>
      <c r="S14" s="49"/>
      <c r="T14" s="49"/>
      <c r="U14" s="49"/>
      <c r="V14" s="5" t="s">
        <v>12</v>
      </c>
      <c r="W14" s="6" t="s">
        <v>7</v>
      </c>
      <c r="X14" s="49" t="s">
        <v>8</v>
      </c>
      <c r="Y14" s="49" t="s">
        <v>8</v>
      </c>
      <c r="Z14" s="49" t="s">
        <v>8</v>
      </c>
      <c r="AA14" s="7"/>
      <c r="AB14" s="9"/>
      <c r="AC14" s="9"/>
      <c r="AD14" s="9"/>
      <c r="AE14" s="9"/>
      <c r="AF14" s="43"/>
      <c r="AG14" s="43"/>
      <c r="AH14" s="43"/>
      <c r="AI14" s="41"/>
      <c r="AJ14" s="41"/>
      <c r="AK14" s="42" t="s">
        <v>8</v>
      </c>
      <c r="AL14" s="39"/>
      <c r="AM14" s="40" t="s">
        <v>8</v>
      </c>
      <c r="AN14" s="11"/>
    </row>
    <row r="15" spans="1:40" x14ac:dyDescent="0.25">
      <c r="A15" s="60" t="s">
        <v>221</v>
      </c>
      <c r="B15" s="13"/>
      <c r="C15" s="62" t="s">
        <v>7</v>
      </c>
      <c r="E15" s="65" t="s">
        <v>222</v>
      </c>
      <c r="F15" s="44"/>
      <c r="G15" s="44"/>
      <c r="H15" s="44"/>
      <c r="I15" s="44"/>
      <c r="J15" s="44"/>
      <c r="AM15" s="3"/>
    </row>
    <row r="16" spans="1:40" x14ac:dyDescent="0.25">
      <c r="A16" s="61" t="s">
        <v>232</v>
      </c>
      <c r="B16" s="50"/>
      <c r="C16" s="63" t="s">
        <v>7</v>
      </c>
      <c r="E16" s="66" t="s">
        <v>223</v>
      </c>
      <c r="F16" s="44"/>
      <c r="G16" s="44"/>
      <c r="H16" s="44"/>
      <c r="I16" s="44"/>
      <c r="J16" s="44"/>
      <c r="AM16" s="3"/>
    </row>
    <row r="17" spans="1:40" x14ac:dyDescent="0.25">
      <c r="A17" s="80" t="s">
        <v>237</v>
      </c>
      <c r="B17" s="81"/>
      <c r="C17" s="82"/>
      <c r="E17" s="65" t="s">
        <v>224</v>
      </c>
      <c r="F17" s="44"/>
      <c r="G17" s="44"/>
      <c r="H17" s="44"/>
      <c r="I17" s="44"/>
      <c r="J17" s="44"/>
      <c r="AM17" s="3"/>
    </row>
    <row r="18" spans="1:40" x14ac:dyDescent="0.25">
      <c r="A18" s="51" t="s">
        <v>21</v>
      </c>
      <c r="B18" s="52" t="e">
        <f>VLOOKUP($B$12,texture!$A$1:$B$99,2,FALSE)</f>
        <v>#N/A</v>
      </c>
      <c r="C18" s="53" t="s">
        <v>23</v>
      </c>
      <c r="E18" s="65" t="s">
        <v>225</v>
      </c>
      <c r="F18" s="44"/>
      <c r="G18" s="44"/>
      <c r="H18" s="44"/>
      <c r="I18" s="44"/>
      <c r="J18" s="44"/>
      <c r="AM18" s="3"/>
    </row>
    <row r="19" spans="1:40" x14ac:dyDescent="0.25">
      <c r="A19" s="51" t="s">
        <v>22</v>
      </c>
      <c r="B19" s="52" t="e">
        <f>VLOOKUP($B$12,texture!$A$1:$C$99,3,FALSE)</f>
        <v>#N/A</v>
      </c>
      <c r="C19" s="53" t="s">
        <v>23</v>
      </c>
      <c r="E19" s="65" t="s">
        <v>226</v>
      </c>
      <c r="F19" s="44"/>
      <c r="G19" s="44"/>
      <c r="H19" s="44"/>
      <c r="I19" s="44"/>
      <c r="J19" s="44"/>
      <c r="AM19" s="3"/>
    </row>
    <row r="20" spans="1:40" x14ac:dyDescent="0.25">
      <c r="A20" s="51" t="s">
        <v>50</v>
      </c>
      <c r="B20" s="54" t="e">
        <f>1000*($B$18-$B$19)*$B$14</f>
        <v>#N/A</v>
      </c>
      <c r="C20" s="53" t="s">
        <v>8</v>
      </c>
      <c r="E20" s="65" t="s">
        <v>227</v>
      </c>
      <c r="F20" s="44"/>
      <c r="G20" s="44"/>
      <c r="H20" s="44"/>
      <c r="I20" s="44"/>
      <c r="J20" s="44"/>
      <c r="AM20" s="3"/>
    </row>
    <row r="21" spans="1:40" x14ac:dyDescent="0.25">
      <c r="A21" s="51" t="s">
        <v>2</v>
      </c>
      <c r="B21" s="55" t="e">
        <f>B20*0.6</f>
        <v>#N/A</v>
      </c>
      <c r="C21" s="53" t="s">
        <v>8</v>
      </c>
      <c r="E21" s="65" t="s">
        <v>228</v>
      </c>
      <c r="F21" s="44"/>
      <c r="G21" s="44"/>
      <c r="H21" s="44"/>
      <c r="I21" s="44"/>
      <c r="J21" s="44"/>
      <c r="AM21" s="3"/>
    </row>
    <row r="22" spans="1:40" x14ac:dyDescent="0.25">
      <c r="A22" s="51" t="s">
        <v>51</v>
      </c>
      <c r="B22" s="54" t="e">
        <f>1000*($B$18-$B$19*0.5)*$B$16</f>
        <v>#N/A</v>
      </c>
      <c r="C22" s="53" t="s">
        <v>8</v>
      </c>
      <c r="E22" s="65" t="s">
        <v>229</v>
      </c>
      <c r="F22" s="44"/>
      <c r="G22" s="44"/>
      <c r="H22" s="44"/>
      <c r="I22" s="44"/>
      <c r="J22" s="44"/>
    </row>
    <row r="23" spans="1:40" s="1" customFormat="1" x14ac:dyDescent="0.25">
      <c r="A23" s="51" t="s">
        <v>52</v>
      </c>
      <c r="B23" s="54" t="e">
        <f>VLOOKUP($B$12,texture!$A$1:$D$100,4,FALSE)</f>
        <v>#N/A</v>
      </c>
      <c r="C23" s="53" t="s">
        <v>8</v>
      </c>
      <c r="D23" s="2"/>
      <c r="E23" s="65" t="s">
        <v>230</v>
      </c>
      <c r="F23" s="44"/>
      <c r="G23" s="44"/>
      <c r="H23" s="44"/>
      <c r="I23" s="44"/>
      <c r="J23" s="44"/>
      <c r="AM23"/>
      <c r="AN23" s="4"/>
    </row>
    <row r="24" spans="1:40" s="1" customFormat="1" x14ac:dyDescent="0.25">
      <c r="A24" s="51" t="s">
        <v>20</v>
      </c>
      <c r="B24" s="52">
        <v>0.6</v>
      </c>
      <c r="C24" s="53" t="s">
        <v>55</v>
      </c>
      <c r="D24" s="2"/>
      <c r="E24" s="2" t="s">
        <v>233</v>
      </c>
      <c r="F24" s="44"/>
      <c r="G24" s="44"/>
      <c r="H24" s="44"/>
      <c r="I24" s="44"/>
      <c r="J24" s="44"/>
      <c r="AM24"/>
      <c r="AN24" s="4"/>
    </row>
    <row r="25" spans="1:40" x14ac:dyDescent="0.25">
      <c r="A25" s="56" t="s">
        <v>192</v>
      </c>
      <c r="B25" s="57" t="e">
        <f>VLOOKUP($B$9,kcb!$A$2:$D$115,IF($B$10="Initial Stage",2,IF($B$10="Crop Development Stage",3,IF($B$10="Mid Season Stage",3,IF($B$10="Late Season Stage",4,3)))),FALSE)</f>
        <v>#N/A</v>
      </c>
      <c r="C25" s="58" t="s">
        <v>55</v>
      </c>
      <c r="E25" s="65" t="s">
        <v>234</v>
      </c>
      <c r="F25" s="44"/>
      <c r="G25" s="44"/>
      <c r="H25" s="44"/>
      <c r="I25" s="44"/>
      <c r="J25" s="44"/>
    </row>
    <row r="26" spans="1:40" x14ac:dyDescent="0.25">
      <c r="E26" s="65" t="s">
        <v>235</v>
      </c>
      <c r="F26" s="44"/>
      <c r="G26" s="44"/>
      <c r="H26" s="44"/>
      <c r="I26" s="44"/>
      <c r="J26" s="44"/>
    </row>
    <row r="27" spans="1:40" x14ac:dyDescent="0.25">
      <c r="E27" s="67" t="s">
        <v>236</v>
      </c>
      <c r="F27" s="44"/>
      <c r="G27" s="44"/>
      <c r="H27" s="44"/>
      <c r="I27" s="44"/>
      <c r="J27" s="44"/>
    </row>
  </sheetData>
  <mergeCells count="12">
    <mergeCell ref="A17:C17"/>
    <mergeCell ref="A1:C1"/>
    <mergeCell ref="E1:J1"/>
    <mergeCell ref="L1:AL1"/>
    <mergeCell ref="B2:C2"/>
    <mergeCell ref="B3:C3"/>
    <mergeCell ref="B4:C4"/>
    <mergeCell ref="A5:C5"/>
    <mergeCell ref="B6:C6"/>
    <mergeCell ref="A7:C7"/>
    <mergeCell ref="M13:M14"/>
    <mergeCell ref="E14:J1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fw!$A$2:$A$8</xm:f>
          </x14:formula1>
          <xm:sqref>B13</xm:sqref>
        </x14:dataValidation>
        <x14:dataValidation type="list" allowBlank="1" showInputMessage="1" showErrorMessage="1">
          <x14:formula1>
            <xm:f>'1-fc'!$A$2:$A$5</xm:f>
          </x14:formula1>
          <xm:sqref>B10</xm:sqref>
        </x14:dataValidation>
        <x14:dataValidation type="list" allowBlank="1" showInputMessage="1" showErrorMessage="1">
          <x14:formula1>
            <xm:f>texture!$A$2:$A$10</xm:f>
          </x14:formula1>
          <xm:sqref>B12</xm:sqref>
        </x14:dataValidation>
        <x14:dataValidation type="list" allowBlank="1" showInputMessage="1" showErrorMessage="1">
          <x14:formula1>
            <xm:f>kcb!$A$2:$A$115</xm:f>
          </x14:formula1>
          <xm:sqref>B9</xm:sqref>
        </x14:dataValidation>
        <x14:dataValidation type="list" allowBlank="1" showInputMessage="1" showErrorMessage="1">
          <x14:formula1>
            <xm:f>region!$A$2:$A$5</xm:f>
          </x14:formula1>
          <xm:sqref>B4:C4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zoomScale="115" zoomScaleNormal="115" workbookViewId="0">
      <selection sqref="A1:C1"/>
    </sheetView>
  </sheetViews>
  <sheetFormatPr defaultRowHeight="15" x14ac:dyDescent="0.25"/>
  <cols>
    <col min="1" max="1" width="47.85546875" bestFit="1" customWidth="1"/>
    <col min="2" max="2" width="27.42578125" customWidth="1"/>
    <col min="3" max="3" width="8.140625" bestFit="1" customWidth="1"/>
    <col min="4" max="4" width="3.7109375" style="2" customWidth="1"/>
    <col min="5" max="5" width="10" style="2" customWidth="1"/>
    <col min="6" max="6" width="21" style="2" bestFit="1" customWidth="1"/>
    <col min="7" max="7" width="20.5703125" style="2" bestFit="1" customWidth="1"/>
    <col min="8" max="8" width="12.42578125" style="2" bestFit="1" customWidth="1"/>
    <col min="9" max="9" width="15.42578125" style="2" bestFit="1" customWidth="1"/>
    <col min="10" max="10" width="12.5703125" style="2" bestFit="1" customWidth="1"/>
    <col min="11" max="11" width="3.7109375" style="2" customWidth="1"/>
    <col min="12" max="12" width="7.140625" style="2" bestFit="1" customWidth="1"/>
    <col min="13" max="13" width="6" style="1" hidden="1" customWidth="1"/>
    <col min="14" max="14" width="4.42578125" style="1" hidden="1" customWidth="1"/>
    <col min="15" max="15" width="8" style="1" hidden="1" customWidth="1"/>
    <col min="16" max="16" width="7" style="1" hidden="1" customWidth="1"/>
    <col min="17" max="17" width="6.7109375" style="1" hidden="1" customWidth="1"/>
    <col min="18" max="18" width="9.140625" style="1" hidden="1" customWidth="1"/>
    <col min="19" max="19" width="6.7109375" style="1" hidden="1" customWidth="1"/>
    <col min="20" max="21" width="7.28515625" style="1" hidden="1" customWidth="1"/>
    <col min="22" max="22" width="12.5703125" style="3" hidden="1" customWidth="1"/>
    <col min="23" max="23" width="5" style="2" hidden="1" customWidth="1"/>
    <col min="24" max="24" width="5.42578125" style="2" hidden="1" customWidth="1"/>
    <col min="25" max="25" width="9" style="2" hidden="1" customWidth="1"/>
    <col min="26" max="26" width="7.7109375" style="2" hidden="1" customWidth="1"/>
    <col min="27" max="27" width="14.5703125" style="2" bestFit="1" customWidth="1"/>
    <col min="28" max="30" width="5" style="2" hidden="1" customWidth="1"/>
    <col min="31" max="33" width="5" style="3" hidden="1" customWidth="1"/>
    <col min="34" max="34" width="6.7109375" style="3" hidden="1" customWidth="1"/>
    <col min="35" max="35" width="5" style="3" hidden="1" customWidth="1"/>
    <col min="36" max="36" width="5" style="1" hidden="1" customWidth="1"/>
    <col min="37" max="37" width="4.7109375" style="2" hidden="1" customWidth="1"/>
    <col min="38" max="38" width="18.7109375" style="2" customWidth="1"/>
    <col min="39" max="39" width="7.28515625" hidden="1" customWidth="1"/>
    <col min="40" max="40" width="19" style="4" customWidth="1"/>
    <col min="41" max="41" width="2.7109375" customWidth="1"/>
    <col min="42" max="44" width="14.140625" customWidth="1"/>
    <col min="45" max="45" width="9.140625" customWidth="1"/>
  </cols>
  <sheetData>
    <row r="1" spans="1:40" x14ac:dyDescent="0.25">
      <c r="A1" s="80" t="s">
        <v>68</v>
      </c>
      <c r="B1" s="81"/>
      <c r="C1" s="82"/>
      <c r="E1" s="83" t="s">
        <v>231</v>
      </c>
      <c r="F1" s="84"/>
      <c r="G1" s="84"/>
      <c r="H1" s="84"/>
      <c r="I1" s="84"/>
      <c r="J1" s="85"/>
      <c r="L1" s="86" t="s">
        <v>71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40" s="8" customFormat="1" x14ac:dyDescent="0.25">
      <c r="A2" s="59" t="s">
        <v>217</v>
      </c>
      <c r="B2" s="87">
        <v>25.67</v>
      </c>
      <c r="C2" s="88"/>
      <c r="D2" s="9"/>
      <c r="E2" s="68" t="s">
        <v>0</v>
      </c>
      <c r="F2" s="69" t="s">
        <v>193</v>
      </c>
      <c r="G2" s="69" t="s">
        <v>194</v>
      </c>
      <c r="H2" s="69" t="s">
        <v>66</v>
      </c>
      <c r="I2" s="69" t="s">
        <v>73</v>
      </c>
      <c r="J2" s="70" t="s">
        <v>67</v>
      </c>
      <c r="K2" s="10"/>
      <c r="L2" s="73" t="s">
        <v>0</v>
      </c>
      <c r="M2" s="74" t="s">
        <v>13</v>
      </c>
      <c r="N2" s="74"/>
      <c r="O2" s="74"/>
      <c r="P2" s="74"/>
      <c r="Q2" s="74"/>
      <c r="R2" s="74"/>
      <c r="S2" s="74"/>
      <c r="T2" s="74"/>
      <c r="U2" s="74"/>
      <c r="V2" s="75" t="s">
        <v>9</v>
      </c>
      <c r="W2" s="76" t="s">
        <v>9</v>
      </c>
      <c r="X2" s="77" t="s">
        <v>9</v>
      </c>
      <c r="Y2" s="77" t="s">
        <v>9</v>
      </c>
      <c r="Z2" s="77" t="s">
        <v>9</v>
      </c>
      <c r="AA2" s="77" t="s">
        <v>70</v>
      </c>
      <c r="AB2" s="29"/>
      <c r="AC2" s="29"/>
      <c r="AD2" s="29"/>
      <c r="AE2" s="29" t="s">
        <v>9</v>
      </c>
      <c r="AF2" s="30" t="s">
        <v>9</v>
      </c>
      <c r="AG2" s="30" t="s">
        <v>9</v>
      </c>
      <c r="AH2" s="30" t="s">
        <v>9</v>
      </c>
      <c r="AI2" s="30" t="s">
        <v>9</v>
      </c>
      <c r="AJ2" s="30" t="s">
        <v>9</v>
      </c>
      <c r="AK2" s="31">
        <v>0</v>
      </c>
      <c r="AL2" s="29" t="s">
        <v>72</v>
      </c>
      <c r="AM2" s="18">
        <f>$B$21</f>
        <v>21.599999999999998</v>
      </c>
      <c r="AN2" s="11"/>
    </row>
    <row r="3" spans="1:40" s="8" customFormat="1" x14ac:dyDescent="0.25">
      <c r="A3" s="64" t="s">
        <v>218</v>
      </c>
      <c r="B3" s="89">
        <v>-80.400000000000006</v>
      </c>
      <c r="C3" s="90"/>
      <c r="D3" s="9"/>
      <c r="E3" s="71" t="s">
        <v>195</v>
      </c>
      <c r="F3" s="14">
        <v>25</v>
      </c>
      <c r="G3" s="14">
        <v>18</v>
      </c>
      <c r="H3" s="14">
        <v>0</v>
      </c>
      <c r="I3" s="14">
        <v>21</v>
      </c>
      <c r="J3" s="15">
        <v>65</v>
      </c>
      <c r="K3" s="10"/>
      <c r="L3" s="71" t="s">
        <v>195</v>
      </c>
      <c r="M3" s="21">
        <v>1</v>
      </c>
      <c r="N3" s="21" t="str">
        <f>TEXT(($B$6 -DATEVALUE("1/1/"&amp;TEXT($B$6,"yy"))+1),"000")</f>
        <v>335</v>
      </c>
      <c r="O3" s="45">
        <f>$B$2/180*PI()</f>
        <v>0.44802601898694444</v>
      </c>
      <c r="P3" s="45">
        <f>1+0.033*COS(2*PI()/365*$N3)</f>
        <v>1.0286964498484381</v>
      </c>
      <c r="Q3" s="45">
        <f>0.409*SIN(2*PI()/365*$N3-1.39)</f>
        <v>-0.38617904451660728</v>
      </c>
      <c r="R3" s="45">
        <f>ACOS(-TAN($O3)*TAN($Q3))</f>
        <v>1.3741116769367903</v>
      </c>
      <c r="S3" s="45">
        <f>SIN($O3)*SIN($Q3)</f>
        <v>-0.16316066561923376</v>
      </c>
      <c r="T3" s="45">
        <f>COS($O3)*COS($Q3)</f>
        <v>0.83492741980223129</v>
      </c>
      <c r="U3" s="45">
        <f>24*60/PI()*0.082*$P3*($R3*$S3+$T3*SIN($R3))</f>
        <v>22.991099350276617</v>
      </c>
      <c r="V3" s="19">
        <f>0.0023*(AVERAGE($F3:$G3)+17.8)*(($F3-$G3)^0.5)*$U3</f>
        <v>5.4983090175799916</v>
      </c>
      <c r="W3" s="20">
        <f>$B$14</f>
        <v>0.3</v>
      </c>
      <c r="X3" s="21">
        <f t="shared" ref="X3:X12" si="0" xml:space="preserve"> $B$24 * 1000 * ($B$18 - $B$19) * W3</f>
        <v>21.599999999999998</v>
      </c>
      <c r="Y3" s="21">
        <v>0</v>
      </c>
      <c r="Z3" s="19">
        <f t="shared" ref="Z3:Z12" si="1">H3</f>
        <v>0</v>
      </c>
      <c r="AA3" s="22">
        <v>40</v>
      </c>
      <c r="AB3" s="23">
        <f>VLOOKUP($B$10,'1-fc'!$A$2:$B$5,2,FALSE)</f>
        <v>0.8</v>
      </c>
      <c r="AC3" s="23">
        <f>IF($Z3&gt;0,1,VLOOKUP($B$13,fw!$A$2:$B$8,2,FALSE))</f>
        <v>0.8</v>
      </c>
      <c r="AD3" s="23">
        <f>MIN(AB3,AC3)</f>
        <v>0.8</v>
      </c>
      <c r="AE3" s="23">
        <f t="shared" ref="AE3:AE12" si="2">IF(Y3&lt;X3,1, (1000 * ($B$18 - $B$19) * W3 - Y3) / (1000 * ($B$18 - $B$19) * W3 - X3))</f>
        <v>1</v>
      </c>
      <c r="AF3" s="23">
        <f t="shared" ref="AF3:AF12" si="3">$B$25+(0.04*($I3*1000/3600-2)-0.004*(J3-45))*(($B$11/3)^0.3)</f>
        <v>0.17147118683271728</v>
      </c>
      <c r="AG3" s="23">
        <f>IF(Y3&lt;=$B$23,1,IF(Y3&lt;=$B$22,($B$22-Y3)/($B$22-$B$23),1))</f>
        <v>1</v>
      </c>
      <c r="AH3" s="23">
        <f t="shared" ref="AH3:AH12" si="4" xml:space="preserve"> MAX(1.2 + (0.04 * ($I3*1000/3600 - 2) - 0.004 * ($J3 - 45)) * ($B$11 / 3)^0.3, AF3 + 0.05)</f>
        <v>1.2214711868327173</v>
      </c>
      <c r="AI3" s="23">
        <f>MIN(AG3*(AH3-AF3),AD3*AH3)</f>
        <v>0.97717694946617384</v>
      </c>
      <c r="AJ3" s="23">
        <f>AF3+AI3</f>
        <v>1.1486481362988912</v>
      </c>
      <c r="AK3" s="32">
        <f>AJ3*V3</f>
        <v>6.3156224058386448</v>
      </c>
      <c r="AL3" s="36">
        <f>IF(Z3+AA3-AK2-AM2&gt;0,Z3+AA3-AK2-AM2,0)</f>
        <v>18.400000000000002</v>
      </c>
      <c r="AM3" s="33">
        <f>AM2-Z3-AA3-0+AK3+AL3</f>
        <v>6.3156224058386456</v>
      </c>
      <c r="AN3" s="11"/>
    </row>
    <row r="4" spans="1:40" s="8" customFormat="1" x14ac:dyDescent="0.25">
      <c r="A4" s="64" t="s">
        <v>215</v>
      </c>
      <c r="B4" s="89" t="s">
        <v>198</v>
      </c>
      <c r="C4" s="90"/>
      <c r="D4" s="9"/>
      <c r="E4" s="71" t="s">
        <v>58</v>
      </c>
      <c r="F4" s="14">
        <v>23</v>
      </c>
      <c r="G4" s="14">
        <v>19</v>
      </c>
      <c r="H4" s="14">
        <v>0</v>
      </c>
      <c r="I4" s="14">
        <v>17</v>
      </c>
      <c r="J4" s="15">
        <v>70</v>
      </c>
      <c r="K4" s="10"/>
      <c r="L4" s="71" t="s">
        <v>58</v>
      </c>
      <c r="M4" s="21">
        <v>2</v>
      </c>
      <c r="N4" s="21">
        <f>N3+1</f>
        <v>336</v>
      </c>
      <c r="O4" s="45">
        <f t="shared" ref="O4:O12" si="5">$B$2/180*PI()</f>
        <v>0.44802601898694444</v>
      </c>
      <c r="P4" s="45">
        <f t="shared" ref="P4:P12" si="6">1+0.033*COS(2*PI()/365*$N4)</f>
        <v>1.0289726827951293</v>
      </c>
      <c r="Q4" s="45">
        <f t="shared" ref="Q4:Q12" si="7">0.409*SIN(2*PI()/365*$N4-1.39)</f>
        <v>-0.38844063667040096</v>
      </c>
      <c r="R4" s="45">
        <f t="shared" ref="R4:R12" si="8">ACOS(-TAN($O4)*TAN($Q4))</f>
        <v>1.3728187465475619</v>
      </c>
      <c r="S4" s="45">
        <f t="shared" ref="S4:S12" si="9">SIN($O4)*SIN($Q4)</f>
        <v>-0.16406779091184798</v>
      </c>
      <c r="T4" s="45">
        <f t="shared" ref="T4:T12" si="10">COS($O4)*COS($Q4)</f>
        <v>0.8341575253608613</v>
      </c>
      <c r="U4" s="45">
        <f t="shared" ref="U4:U12" si="11">24*60/PI()*0.082*$P4*($R4*$S4+$T4*SIN($R4))</f>
        <v>22.919889881279179</v>
      </c>
      <c r="V4" s="19">
        <f t="shared" ref="V4:V12" si="12">0.0023*(AVERAGE($F4:$G4)+17.8)*(($F4-$G4)^0.5)*$U4</f>
        <v>4.0907419460107075</v>
      </c>
      <c r="W4" s="20">
        <f t="shared" ref="W4:W11" si="13">($W$12-$W$3)/COUNT($M$4:$M$12)+$W3</f>
        <v>0.30555555555555552</v>
      </c>
      <c r="X4" s="21">
        <f t="shared" si="0"/>
        <v>21.999999999999996</v>
      </c>
      <c r="Y4" s="21">
        <f>IF(Z4&gt;0,MAX(AM3-Z4,0),AM3)</f>
        <v>6.3156224058386456</v>
      </c>
      <c r="Z4" s="19">
        <f t="shared" si="1"/>
        <v>0</v>
      </c>
      <c r="AA4" s="22">
        <f>IF(Y4 &gt;= X4,X4,0)</f>
        <v>0</v>
      </c>
      <c r="AB4" s="23">
        <f>AB3</f>
        <v>0.8</v>
      </c>
      <c r="AC4" s="23">
        <f>IF($Z4&gt;0,1,VLOOKUP($B$13,fw!$A$2:$B$8,2,FALSE))</f>
        <v>0.8</v>
      </c>
      <c r="AD4" s="23">
        <f t="shared" ref="AD4:AD12" si="14">MIN(AB4,AC4)</f>
        <v>0.8</v>
      </c>
      <c r="AE4" s="23">
        <f t="shared" si="2"/>
        <v>1</v>
      </c>
      <c r="AF4" s="23">
        <f t="shared" si="3"/>
        <v>0.15260256810093542</v>
      </c>
      <c r="AG4" s="23">
        <f t="shared" ref="AG4:AG12" si="15">IF(Y4&lt;=$B$23,1,IF(Y4&lt;=$B$22,($B$22-Y4)/($B$22-$B$23),1))</f>
        <v>1</v>
      </c>
      <c r="AH4" s="23">
        <f t="shared" si="4"/>
        <v>1.2026025681009354</v>
      </c>
      <c r="AI4" s="23">
        <f t="shared" ref="AI4:AI12" si="16">MIN(AG4*(AH4-AF4),AD4*AH4)</f>
        <v>0.96208205448074835</v>
      </c>
      <c r="AJ4" s="23">
        <f t="shared" ref="AJ4:AJ12" si="17">AF4+AI4</f>
        <v>1.1146846225816838</v>
      </c>
      <c r="AK4" s="32">
        <f t="shared" ref="AK4:AK12" si="18">AJ4*V4</f>
        <v>4.5598871421680078</v>
      </c>
      <c r="AL4" s="36">
        <f t="shared" ref="AL4:AL12" si="19">IF(Z4+AA4-AK4-AM3&gt;0,Z4+AA4-AK4-AM3,0)</f>
        <v>0</v>
      </c>
      <c r="AM4" s="33">
        <f t="shared" ref="AM4:AM12" si="20">AM3-Z4-AA4-0+AK4+AL4</f>
        <v>10.875509548006654</v>
      </c>
      <c r="AN4" s="11"/>
    </row>
    <row r="5" spans="1:40" s="8" customFormat="1" x14ac:dyDescent="0.25">
      <c r="A5" s="91" t="s">
        <v>203</v>
      </c>
      <c r="B5" s="92"/>
      <c r="C5" s="93"/>
      <c r="D5" s="9"/>
      <c r="E5" s="71" t="s">
        <v>57</v>
      </c>
      <c r="F5" s="14">
        <v>27</v>
      </c>
      <c r="G5" s="14">
        <v>20</v>
      </c>
      <c r="H5" s="14">
        <v>0</v>
      </c>
      <c r="I5" s="14">
        <v>21</v>
      </c>
      <c r="J5" s="15">
        <v>72</v>
      </c>
      <c r="K5" s="10"/>
      <c r="L5" s="71" t="s">
        <v>57</v>
      </c>
      <c r="M5" s="21">
        <v>3</v>
      </c>
      <c r="N5" s="21">
        <f t="shared" ref="N5:N12" si="21">N4+1</f>
        <v>337</v>
      </c>
      <c r="O5" s="45">
        <f t="shared" si="5"/>
        <v>0.44802601898694444</v>
      </c>
      <c r="P5" s="45">
        <f t="shared" si="6"/>
        <v>1.0292403305106266</v>
      </c>
      <c r="Q5" s="45">
        <f t="shared" si="7"/>
        <v>-0.39058712548031388</v>
      </c>
      <c r="R5" s="45">
        <f t="shared" si="8"/>
        <v>1.3715890931750225</v>
      </c>
      <c r="S5" s="45">
        <f t="shared" si="9"/>
        <v>-0.1649279720954992</v>
      </c>
      <c r="T5" s="45">
        <f t="shared" si="10"/>
        <v>0.83342286814830224</v>
      </c>
      <c r="U5" s="45">
        <f t="shared" si="11"/>
        <v>22.852328261673438</v>
      </c>
      <c r="V5" s="19">
        <f t="shared" si="12"/>
        <v>5.7432452428494933</v>
      </c>
      <c r="W5" s="20">
        <f t="shared" si="13"/>
        <v>0.31111111111111106</v>
      </c>
      <c r="X5" s="21">
        <f t="shared" si="0"/>
        <v>22.399999999999995</v>
      </c>
      <c r="Y5" s="21">
        <f t="shared" ref="Y5:Y12" si="22">IF(Z5&gt;0,MAX(AM4-Z5,0),AM4)</f>
        <v>10.875509548006654</v>
      </c>
      <c r="Z5" s="19">
        <f t="shared" si="1"/>
        <v>0</v>
      </c>
      <c r="AA5" s="22">
        <f t="shared" ref="AA5:AA12" si="23">IF(Y5 &gt;= X5,X5,0)</f>
        <v>0</v>
      </c>
      <c r="AB5" s="23">
        <f t="shared" ref="AB5:AB12" si="24">AB4</f>
        <v>0.8</v>
      </c>
      <c r="AC5" s="23">
        <f>IF($Z5&gt;0,1,VLOOKUP($B$13,fw!$A$2:$B$8,2,FALSE))</f>
        <v>0.8</v>
      </c>
      <c r="AD5" s="23">
        <f t="shared" si="14"/>
        <v>0.8</v>
      </c>
      <c r="AE5" s="23">
        <f t="shared" si="2"/>
        <v>1</v>
      </c>
      <c r="AF5" s="23">
        <f t="shared" si="3"/>
        <v>0.16327309731477069</v>
      </c>
      <c r="AG5" s="23">
        <f t="shared" si="15"/>
        <v>0.69731478442035233</v>
      </c>
      <c r="AH5" s="23">
        <f t="shared" si="4"/>
        <v>1.2132730973147707</v>
      </c>
      <c r="AI5" s="23">
        <f t="shared" si="16"/>
        <v>0.73218052364136998</v>
      </c>
      <c r="AJ5" s="23">
        <f t="shared" si="17"/>
        <v>0.89545362095614067</v>
      </c>
      <c r="AK5" s="32">
        <f t="shared" si="18"/>
        <v>5.1428097487487081</v>
      </c>
      <c r="AL5" s="36">
        <f t="shared" si="19"/>
        <v>0</v>
      </c>
      <c r="AM5" s="33">
        <f t="shared" si="20"/>
        <v>16.018319296755362</v>
      </c>
      <c r="AN5" s="11"/>
    </row>
    <row r="6" spans="1:40" s="8" customFormat="1" x14ac:dyDescent="0.25">
      <c r="A6" s="56" t="s">
        <v>216</v>
      </c>
      <c r="B6" s="94">
        <v>43070</v>
      </c>
      <c r="C6" s="95"/>
      <c r="D6" s="9"/>
      <c r="E6" s="71" t="s">
        <v>59</v>
      </c>
      <c r="F6" s="14">
        <v>29</v>
      </c>
      <c r="G6" s="14">
        <v>21</v>
      </c>
      <c r="H6" s="14">
        <v>0</v>
      </c>
      <c r="I6" s="14">
        <v>23</v>
      </c>
      <c r="J6" s="15">
        <v>74</v>
      </c>
      <c r="K6" s="10"/>
      <c r="L6" s="71" t="s">
        <v>59</v>
      </c>
      <c r="M6" s="21">
        <v>4</v>
      </c>
      <c r="N6" s="21">
        <f t="shared" si="21"/>
        <v>338</v>
      </c>
      <c r="O6" s="45">
        <f t="shared" si="5"/>
        <v>0.44802601898694444</v>
      </c>
      <c r="P6" s="45">
        <f t="shared" si="6"/>
        <v>1.0294993136851354</v>
      </c>
      <c r="Q6" s="45">
        <f t="shared" si="7"/>
        <v>-0.39261787489538619</v>
      </c>
      <c r="R6" s="45">
        <f t="shared" si="8"/>
        <v>1.370423458970222</v>
      </c>
      <c r="S6" s="45">
        <f t="shared" si="9"/>
        <v>-0.16574107255198089</v>
      </c>
      <c r="T6" s="45">
        <f t="shared" si="10"/>
        <v>0.83272428891213568</v>
      </c>
      <c r="U6" s="45">
        <f t="shared" si="11"/>
        <v>22.788449174392504</v>
      </c>
      <c r="V6" s="19">
        <f t="shared" si="12"/>
        <v>6.3449962478449944</v>
      </c>
      <c r="W6" s="20">
        <f t="shared" si="13"/>
        <v>0.3166666666666666</v>
      </c>
      <c r="X6" s="21">
        <f t="shared" si="0"/>
        <v>22.799999999999994</v>
      </c>
      <c r="Y6" s="21">
        <f t="shared" si="22"/>
        <v>16.018319296755362</v>
      </c>
      <c r="Z6" s="19">
        <f t="shared" si="1"/>
        <v>0</v>
      </c>
      <c r="AA6" s="22">
        <f t="shared" si="23"/>
        <v>0</v>
      </c>
      <c r="AB6" s="23">
        <f t="shared" si="24"/>
        <v>0.8</v>
      </c>
      <c r="AC6" s="23">
        <f>IF($Z6&gt;0,1,VLOOKUP($B$13,fw!$A$2:$B$8,2,FALSE))</f>
        <v>0.8</v>
      </c>
      <c r="AD6" s="23">
        <f t="shared" si="14"/>
        <v>0.8</v>
      </c>
      <c r="AE6" s="23">
        <f t="shared" si="2"/>
        <v>1</v>
      </c>
      <c r="AF6" s="23">
        <f t="shared" si="3"/>
        <v>0.16743720627626738</v>
      </c>
      <c r="AG6" s="23">
        <f t="shared" si="15"/>
        <v>0.1559663898152254</v>
      </c>
      <c r="AH6" s="23">
        <f t="shared" si="4"/>
        <v>1.2174372062762673</v>
      </c>
      <c r="AI6" s="23">
        <f t="shared" si="16"/>
        <v>0.16376470930598663</v>
      </c>
      <c r="AJ6" s="23">
        <f t="shared" si="17"/>
        <v>0.33120191558225398</v>
      </c>
      <c r="AK6" s="32">
        <f t="shared" si="18"/>
        <v>2.1014749116484759</v>
      </c>
      <c r="AL6" s="36">
        <f t="shared" si="19"/>
        <v>0</v>
      </c>
      <c r="AM6" s="33">
        <f t="shared" si="20"/>
        <v>18.119794208403839</v>
      </c>
      <c r="AN6" s="11"/>
    </row>
    <row r="7" spans="1:40" s="8" customFormat="1" x14ac:dyDescent="0.25">
      <c r="A7" s="80" t="s">
        <v>56</v>
      </c>
      <c r="B7" s="81"/>
      <c r="C7" s="96"/>
      <c r="D7" s="9"/>
      <c r="E7" s="71" t="s">
        <v>60</v>
      </c>
      <c r="F7" s="14">
        <v>27</v>
      </c>
      <c r="G7" s="14">
        <v>19</v>
      </c>
      <c r="H7" s="14">
        <v>20</v>
      </c>
      <c r="I7" s="14">
        <v>14</v>
      </c>
      <c r="J7" s="15">
        <v>76</v>
      </c>
      <c r="K7" s="10"/>
      <c r="L7" s="71" t="s">
        <v>60</v>
      </c>
      <c r="M7" s="21">
        <v>5</v>
      </c>
      <c r="N7" s="21">
        <f t="shared" si="21"/>
        <v>339</v>
      </c>
      <c r="O7" s="45">
        <f t="shared" si="5"/>
        <v>0.44802601898694444</v>
      </c>
      <c r="P7" s="45">
        <f t="shared" si="6"/>
        <v>1.0297495555763521</v>
      </c>
      <c r="Q7" s="45">
        <f t="shared" si="7"/>
        <v>-0.39453228316073946</v>
      </c>
      <c r="R7" s="45">
        <f t="shared" si="8"/>
        <v>1.369322553811068</v>
      </c>
      <c r="S7" s="45">
        <f t="shared" si="9"/>
        <v>-0.16650696484449345</v>
      </c>
      <c r="T7" s="45">
        <f t="shared" si="10"/>
        <v>0.83206258642992448</v>
      </c>
      <c r="U7" s="45">
        <f t="shared" si="11"/>
        <v>22.728285458505251</v>
      </c>
      <c r="V7" s="19">
        <f t="shared" si="12"/>
        <v>6.0325324665878313</v>
      </c>
      <c r="W7" s="20">
        <f t="shared" si="13"/>
        <v>0.32222222222222213</v>
      </c>
      <c r="X7" s="21">
        <f t="shared" si="0"/>
        <v>23.199999999999992</v>
      </c>
      <c r="Y7" s="21">
        <f t="shared" si="22"/>
        <v>0</v>
      </c>
      <c r="Z7" s="19">
        <f t="shared" si="1"/>
        <v>20</v>
      </c>
      <c r="AA7" s="22">
        <f t="shared" si="23"/>
        <v>0</v>
      </c>
      <c r="AB7" s="23">
        <f t="shared" si="24"/>
        <v>0.8</v>
      </c>
      <c r="AC7" s="23">
        <f>IF($Z7&gt;0,1,VLOOKUP($B$13,fw!$A$2:$B$8,2,FALSE))</f>
        <v>1</v>
      </c>
      <c r="AD7" s="23">
        <f t="shared" si="14"/>
        <v>0.8</v>
      </c>
      <c r="AE7" s="23">
        <f t="shared" si="2"/>
        <v>1</v>
      </c>
      <c r="AF7" s="23">
        <f t="shared" si="3"/>
        <v>0.13581600384990192</v>
      </c>
      <c r="AG7" s="23">
        <f t="shared" si="15"/>
        <v>1</v>
      </c>
      <c r="AH7" s="23">
        <f t="shared" si="4"/>
        <v>1.1858160038499019</v>
      </c>
      <c r="AI7" s="23">
        <f t="shared" si="16"/>
        <v>0.94865280307992161</v>
      </c>
      <c r="AJ7" s="23">
        <f t="shared" si="17"/>
        <v>1.0844688069298236</v>
      </c>
      <c r="AK7" s="32">
        <f t="shared" si="18"/>
        <v>6.5420932868059314</v>
      </c>
      <c r="AL7" s="36">
        <f t="shared" si="19"/>
        <v>0</v>
      </c>
      <c r="AM7" s="33">
        <f t="shared" si="20"/>
        <v>4.6618874952097702</v>
      </c>
      <c r="AN7" s="11"/>
    </row>
    <row r="8" spans="1:40" x14ac:dyDescent="0.25">
      <c r="A8" s="78" t="s">
        <v>48</v>
      </c>
      <c r="B8" s="79" t="s">
        <v>49</v>
      </c>
      <c r="C8" s="79" t="s">
        <v>54</v>
      </c>
      <c r="E8" s="71" t="s">
        <v>61</v>
      </c>
      <c r="F8" s="14">
        <v>28</v>
      </c>
      <c r="G8" s="14">
        <v>16</v>
      </c>
      <c r="H8" s="14">
        <v>0</v>
      </c>
      <c r="I8" s="14">
        <v>17</v>
      </c>
      <c r="J8" s="15">
        <v>79</v>
      </c>
      <c r="L8" s="71" t="s">
        <v>61</v>
      </c>
      <c r="M8" s="21">
        <v>6</v>
      </c>
      <c r="N8" s="21">
        <f t="shared" si="21"/>
        <v>340</v>
      </c>
      <c r="O8" s="45">
        <f t="shared" si="5"/>
        <v>0.44802601898694444</v>
      </c>
      <c r="P8" s="45">
        <f t="shared" si="6"/>
        <v>1.0299909820322035</v>
      </c>
      <c r="Q8" s="45">
        <f t="shared" si="7"/>
        <v>-0.39632978299588817</v>
      </c>
      <c r="R8" s="45">
        <f t="shared" si="8"/>
        <v>1.3682870538867027</v>
      </c>
      <c r="S8" s="45">
        <f t="shared" si="9"/>
        <v>-0.16722553046010624</v>
      </c>
      <c r="T8" s="45">
        <f t="shared" si="10"/>
        <v>0.83143851669975499</v>
      </c>
      <c r="U8" s="45">
        <f t="shared" si="11"/>
        <v>22.671868100007945</v>
      </c>
      <c r="V8" s="19">
        <f t="shared" si="12"/>
        <v>7.1893369298597669</v>
      </c>
      <c r="W8" s="20">
        <f t="shared" si="13"/>
        <v>0.32777777777777767</v>
      </c>
      <c r="X8" s="21">
        <f t="shared" si="0"/>
        <v>23.599999999999991</v>
      </c>
      <c r="Y8" s="21">
        <f t="shared" si="22"/>
        <v>4.6618874952097702</v>
      </c>
      <c r="Z8" s="19">
        <f t="shared" si="1"/>
        <v>0</v>
      </c>
      <c r="AA8" s="22">
        <f t="shared" si="23"/>
        <v>0</v>
      </c>
      <c r="AB8" s="23">
        <f t="shared" si="24"/>
        <v>0.8</v>
      </c>
      <c r="AC8" s="23">
        <f>IF($Z8&gt;0,1,VLOOKUP($B$13,fw!$A$2:$B$8,2,FALSE))</f>
        <v>0.8</v>
      </c>
      <c r="AD8" s="23">
        <f t="shared" si="14"/>
        <v>0.8</v>
      </c>
      <c r="AE8" s="23">
        <f t="shared" si="2"/>
        <v>1</v>
      </c>
      <c r="AF8" s="23">
        <f t="shared" si="3"/>
        <v>0.14206216729214693</v>
      </c>
      <c r="AG8" s="23">
        <f t="shared" si="15"/>
        <v>1</v>
      </c>
      <c r="AH8" s="23">
        <f t="shared" si="4"/>
        <v>1.192062167292147</v>
      </c>
      <c r="AI8" s="23">
        <f t="shared" si="16"/>
        <v>0.95364973383371765</v>
      </c>
      <c r="AJ8" s="23">
        <f t="shared" si="17"/>
        <v>1.0957119011258647</v>
      </c>
      <c r="AK8" s="32">
        <f t="shared" si="18"/>
        <v>7.8774420352510326</v>
      </c>
      <c r="AL8" s="36">
        <f t="shared" si="19"/>
        <v>0</v>
      </c>
      <c r="AM8" s="33">
        <f t="shared" si="20"/>
        <v>12.539329530460803</v>
      </c>
    </row>
    <row r="9" spans="1:40" x14ac:dyDescent="0.25">
      <c r="A9" s="59" t="s">
        <v>211</v>
      </c>
      <c r="B9" s="12" t="s">
        <v>93</v>
      </c>
      <c r="C9" s="62" t="s">
        <v>55</v>
      </c>
      <c r="E9" s="71" t="s">
        <v>62</v>
      </c>
      <c r="F9" s="14">
        <v>25</v>
      </c>
      <c r="G9" s="14">
        <v>13</v>
      </c>
      <c r="H9" s="14">
        <v>0</v>
      </c>
      <c r="I9" s="14">
        <v>19</v>
      </c>
      <c r="J9" s="15">
        <v>69</v>
      </c>
      <c r="L9" s="71" t="s">
        <v>62</v>
      </c>
      <c r="M9" s="21">
        <v>7</v>
      </c>
      <c r="N9" s="21">
        <f t="shared" si="21"/>
        <v>341</v>
      </c>
      <c r="O9" s="45">
        <f t="shared" si="5"/>
        <v>0.44802601898694444</v>
      </c>
      <c r="P9" s="45">
        <f t="shared" si="6"/>
        <v>1.0302235215128204</v>
      </c>
      <c r="Q9" s="45">
        <f t="shared" si="7"/>
        <v>-0.39800984176283782</v>
      </c>
      <c r="R9" s="45">
        <f t="shared" si="8"/>
        <v>1.3673176003311915</v>
      </c>
      <c r="S9" s="45">
        <f t="shared" si="9"/>
        <v>-0.167896659562983</v>
      </c>
      <c r="T9" s="45">
        <f t="shared" si="10"/>
        <v>0.83085279217707353</v>
      </c>
      <c r="U9" s="45">
        <f t="shared" si="11"/>
        <v>22.619226223450166</v>
      </c>
      <c r="V9" s="19">
        <f t="shared" si="12"/>
        <v>6.6319924306609215</v>
      </c>
      <c r="W9" s="20">
        <f t="shared" si="13"/>
        <v>0.3333333333333332</v>
      </c>
      <c r="X9" s="21">
        <f t="shared" si="0"/>
        <v>23.999999999999989</v>
      </c>
      <c r="Y9" s="21">
        <f t="shared" si="22"/>
        <v>12.539329530460803</v>
      </c>
      <c r="Z9" s="19">
        <f t="shared" si="1"/>
        <v>0</v>
      </c>
      <c r="AA9" s="22">
        <f t="shared" si="23"/>
        <v>0</v>
      </c>
      <c r="AB9" s="23">
        <f t="shared" si="24"/>
        <v>0.8</v>
      </c>
      <c r="AC9" s="23">
        <f>IF($Z9&gt;0,1,VLOOKUP($B$13,fw!$A$2:$B$8,2,FALSE))</f>
        <v>0.8</v>
      </c>
      <c r="AD9" s="23">
        <f t="shared" si="14"/>
        <v>0.8</v>
      </c>
      <c r="AE9" s="23">
        <f t="shared" si="2"/>
        <v>1</v>
      </c>
      <c r="AF9" s="23">
        <f t="shared" si="3"/>
        <v>0.16028014399869495</v>
      </c>
      <c r="AG9" s="23">
        <f t="shared" si="15"/>
        <v>0.5221758388988631</v>
      </c>
      <c r="AH9" s="23">
        <f t="shared" si="4"/>
        <v>1.210280143998695</v>
      </c>
      <c r="AI9" s="23">
        <f t="shared" si="16"/>
        <v>0.5482846308438063</v>
      </c>
      <c r="AJ9" s="23">
        <f t="shared" si="17"/>
        <v>0.70856477484250124</v>
      </c>
      <c r="AK9" s="32">
        <f t="shared" si="18"/>
        <v>4.6991962233884284</v>
      </c>
      <c r="AL9" s="36">
        <f t="shared" si="19"/>
        <v>0</v>
      </c>
      <c r="AM9" s="33">
        <f t="shared" si="20"/>
        <v>17.238525753849231</v>
      </c>
    </row>
    <row r="10" spans="1:40" x14ac:dyDescent="0.25">
      <c r="A10" s="59" t="s">
        <v>212</v>
      </c>
      <c r="B10" s="12" t="s">
        <v>28</v>
      </c>
      <c r="C10" s="62" t="s">
        <v>55</v>
      </c>
      <c r="E10" s="71" t="s">
        <v>63</v>
      </c>
      <c r="F10" s="14">
        <v>23</v>
      </c>
      <c r="G10" s="14">
        <v>14</v>
      </c>
      <c r="H10" s="14">
        <v>0</v>
      </c>
      <c r="I10" s="14">
        <v>22</v>
      </c>
      <c r="J10" s="15">
        <v>56</v>
      </c>
      <c r="L10" s="71" t="s">
        <v>63</v>
      </c>
      <c r="M10" s="21">
        <v>8</v>
      </c>
      <c r="N10" s="21">
        <f t="shared" si="21"/>
        <v>342</v>
      </c>
      <c r="O10" s="45">
        <f t="shared" si="5"/>
        <v>0.44802601898694444</v>
      </c>
      <c r="P10" s="45">
        <f t="shared" si="6"/>
        <v>1.0304471051117361</v>
      </c>
      <c r="Q10" s="45">
        <f t="shared" si="7"/>
        <v>-0.39957196162391734</v>
      </c>
      <c r="R10" s="45">
        <f t="shared" si="8"/>
        <v>1.3664147979120085</v>
      </c>
      <c r="S10" s="45">
        <f t="shared" si="9"/>
        <v>-0.16852025075914026</v>
      </c>
      <c r="T10" s="45">
        <f t="shared" si="10"/>
        <v>0.83030608105810544</v>
      </c>
      <c r="U10" s="45">
        <f t="shared" si="11"/>
        <v>22.57038708432918</v>
      </c>
      <c r="V10" s="19">
        <f t="shared" si="12"/>
        <v>5.6532048530119292</v>
      </c>
      <c r="W10" s="20">
        <f t="shared" si="13"/>
        <v>0.33888888888888874</v>
      </c>
      <c r="X10" s="21">
        <f t="shared" si="0"/>
        <v>24.399999999999988</v>
      </c>
      <c r="Y10" s="21">
        <f t="shared" si="22"/>
        <v>17.238525753849231</v>
      </c>
      <c r="Z10" s="19">
        <f t="shared" si="1"/>
        <v>0</v>
      </c>
      <c r="AA10" s="22">
        <f t="shared" si="23"/>
        <v>0</v>
      </c>
      <c r="AB10" s="23">
        <f t="shared" si="24"/>
        <v>0.8</v>
      </c>
      <c r="AC10" s="23">
        <f>IF($Z10&gt;0,1,VLOOKUP($B$13,fw!$A$2:$B$8,2,FALSE))</f>
        <v>0.8</v>
      </c>
      <c r="AD10" s="23">
        <f t="shared" si="14"/>
        <v>0.8</v>
      </c>
      <c r="AE10" s="23">
        <f t="shared" si="2"/>
        <v>1</v>
      </c>
      <c r="AF10" s="23">
        <f t="shared" si="3"/>
        <v>0.18526479776767504</v>
      </c>
      <c r="AG10" s="23">
        <f t="shared" si="15"/>
        <v>2.7523604857976034E-2</v>
      </c>
      <c r="AH10" s="23">
        <f t="shared" si="4"/>
        <v>1.2352647977676749</v>
      </c>
      <c r="AI10" s="23">
        <f t="shared" si="16"/>
        <v>2.889978510087483E-2</v>
      </c>
      <c r="AJ10" s="23">
        <f t="shared" si="17"/>
        <v>0.21416458286854986</v>
      </c>
      <c r="AK10" s="32">
        <f t="shared" si="18"/>
        <v>1.2107162592157616</v>
      </c>
      <c r="AL10" s="36">
        <f t="shared" si="19"/>
        <v>0</v>
      </c>
      <c r="AM10" s="33">
        <f t="shared" si="20"/>
        <v>18.449242013064993</v>
      </c>
    </row>
    <row r="11" spans="1:40" x14ac:dyDescent="0.25">
      <c r="A11" s="59" t="s">
        <v>219</v>
      </c>
      <c r="B11" s="13">
        <v>0.05</v>
      </c>
      <c r="C11" s="62" t="s">
        <v>7</v>
      </c>
      <c r="E11" s="71" t="s">
        <v>64</v>
      </c>
      <c r="F11" s="14">
        <v>22</v>
      </c>
      <c r="G11" s="14">
        <v>14</v>
      </c>
      <c r="H11" s="14">
        <v>0</v>
      </c>
      <c r="I11" s="14">
        <v>23</v>
      </c>
      <c r="J11" s="15">
        <v>62</v>
      </c>
      <c r="L11" s="71" t="s">
        <v>64</v>
      </c>
      <c r="M11" s="21">
        <v>9</v>
      </c>
      <c r="N11" s="21">
        <f t="shared" si="21"/>
        <v>343</v>
      </c>
      <c r="O11" s="45">
        <f t="shared" si="5"/>
        <v>0.44802601898694444</v>
      </c>
      <c r="P11" s="45">
        <f t="shared" si="6"/>
        <v>1.0306616665763046</v>
      </c>
      <c r="Q11" s="45">
        <f t="shared" si="7"/>
        <v>-0.40101567968929847</v>
      </c>
      <c r="R11" s="45">
        <f t="shared" si="8"/>
        <v>1.36557921377866</v>
      </c>
      <c r="S11" s="45">
        <f t="shared" si="9"/>
        <v>-0.16909621087347085</v>
      </c>
      <c r="T11" s="45">
        <f t="shared" si="10"/>
        <v>0.82979900661010919</v>
      </c>
      <c r="U11" s="45">
        <f t="shared" si="11"/>
        <v>22.525376062187952</v>
      </c>
      <c r="V11" s="19">
        <f t="shared" si="12"/>
        <v>5.2459954120316725</v>
      </c>
      <c r="W11" s="20">
        <f t="shared" si="13"/>
        <v>0.34444444444444428</v>
      </c>
      <c r="X11" s="21">
        <f t="shared" si="0"/>
        <v>24.799999999999986</v>
      </c>
      <c r="Y11" s="21">
        <f t="shared" si="22"/>
        <v>18.449242013064993</v>
      </c>
      <c r="Z11" s="19">
        <f t="shared" si="1"/>
        <v>0</v>
      </c>
      <c r="AA11" s="22">
        <f t="shared" si="23"/>
        <v>0</v>
      </c>
      <c r="AB11" s="23">
        <f t="shared" si="24"/>
        <v>0.8</v>
      </c>
      <c r="AC11" s="23">
        <f>IF($Z11&gt;0,1,VLOOKUP($B$13,fw!$A$2:$B$8,2,FALSE))</f>
        <v>0.8</v>
      </c>
      <c r="AD11" s="23">
        <f t="shared" si="14"/>
        <v>0.8</v>
      </c>
      <c r="AE11" s="23">
        <f t="shared" si="2"/>
        <v>1</v>
      </c>
      <c r="AF11" s="23">
        <f t="shared" si="3"/>
        <v>0.18149107402131867</v>
      </c>
      <c r="AG11" s="23">
        <f t="shared" si="15"/>
        <v>1</v>
      </c>
      <c r="AH11" s="23">
        <f t="shared" si="4"/>
        <v>1.2314910740213187</v>
      </c>
      <c r="AI11" s="23">
        <f t="shared" si="16"/>
        <v>0.98519285921705502</v>
      </c>
      <c r="AJ11" s="23">
        <f t="shared" si="17"/>
        <v>1.1666839332383736</v>
      </c>
      <c r="AK11" s="32">
        <f t="shared" si="18"/>
        <v>6.1204185610595738</v>
      </c>
      <c r="AL11" s="36">
        <f t="shared" si="19"/>
        <v>0</v>
      </c>
      <c r="AM11" s="33">
        <f t="shared" si="20"/>
        <v>24.569660574124565</v>
      </c>
    </row>
    <row r="12" spans="1:40" x14ac:dyDescent="0.25">
      <c r="A12" s="59" t="s">
        <v>213</v>
      </c>
      <c r="B12" s="12" t="s">
        <v>53</v>
      </c>
      <c r="C12" s="62" t="s">
        <v>55</v>
      </c>
      <c r="E12" s="72" t="s">
        <v>65</v>
      </c>
      <c r="F12" s="16">
        <v>24</v>
      </c>
      <c r="G12" s="16">
        <v>15</v>
      </c>
      <c r="H12" s="16">
        <v>0</v>
      </c>
      <c r="I12" s="16">
        <v>22</v>
      </c>
      <c r="J12" s="17">
        <v>74</v>
      </c>
      <c r="L12" s="72" t="s">
        <v>65</v>
      </c>
      <c r="M12" s="28">
        <v>10</v>
      </c>
      <c r="N12" s="28">
        <f t="shared" si="21"/>
        <v>344</v>
      </c>
      <c r="O12" s="46">
        <f t="shared" si="5"/>
        <v>0.44802601898694444</v>
      </c>
      <c r="P12" s="46">
        <f t="shared" si="6"/>
        <v>1.0308671423273339</v>
      </c>
      <c r="Q12" s="46">
        <f t="shared" si="7"/>
        <v>-0.40234056815416047</v>
      </c>
      <c r="R12" s="46">
        <f t="shared" si="8"/>
        <v>1.3648113762766185</v>
      </c>
      <c r="S12" s="46">
        <f t="shared" si="9"/>
        <v>-0.16962445473972276</v>
      </c>
      <c r="T12" s="46">
        <f t="shared" si="10"/>
        <v>0.82933214654869447</v>
      </c>
      <c r="U12" s="46">
        <f t="shared" si="11"/>
        <v>22.484216654354881</v>
      </c>
      <c r="V12" s="47">
        <f t="shared" si="12"/>
        <v>5.7867628403313152</v>
      </c>
      <c r="W12" s="25">
        <f>$B$15</f>
        <v>0.35</v>
      </c>
      <c r="X12" s="28">
        <f t="shared" si="0"/>
        <v>25.2</v>
      </c>
      <c r="Y12" s="28">
        <f t="shared" si="22"/>
        <v>24.569660574124565</v>
      </c>
      <c r="Z12" s="24">
        <f t="shared" si="1"/>
        <v>0</v>
      </c>
      <c r="AA12" s="26">
        <f t="shared" si="23"/>
        <v>0</v>
      </c>
      <c r="AB12" s="27">
        <f t="shared" si="24"/>
        <v>0.8</v>
      </c>
      <c r="AC12" s="23">
        <f>IF($Z12&gt;0,1,VLOOKUP($B$13,fw!$A$2:$B$8,2,FALSE))</f>
        <v>0.8</v>
      </c>
      <c r="AD12" s="27">
        <f t="shared" si="14"/>
        <v>0.8</v>
      </c>
      <c r="AE12" s="27">
        <f t="shared" si="2"/>
        <v>1</v>
      </c>
      <c r="AF12" s="23">
        <f t="shared" si="3"/>
        <v>0.16418399615009807</v>
      </c>
      <c r="AG12" s="27">
        <f t="shared" si="15"/>
        <v>1</v>
      </c>
      <c r="AH12" s="27">
        <f t="shared" si="4"/>
        <v>1.214183996150098</v>
      </c>
      <c r="AI12" s="27">
        <f t="shared" si="16"/>
        <v>0.97134719692007843</v>
      </c>
      <c r="AJ12" s="27">
        <f t="shared" si="17"/>
        <v>1.1355311930701766</v>
      </c>
      <c r="AK12" s="34">
        <f t="shared" si="18"/>
        <v>6.571049712095582</v>
      </c>
      <c r="AL12" s="37">
        <f t="shared" si="19"/>
        <v>0</v>
      </c>
      <c r="AM12" s="35">
        <f t="shared" si="20"/>
        <v>31.140710286220148</v>
      </c>
    </row>
    <row r="13" spans="1:40" s="8" customFormat="1" x14ac:dyDescent="0.25">
      <c r="A13" s="59" t="s">
        <v>214</v>
      </c>
      <c r="B13" s="12" t="s">
        <v>35</v>
      </c>
      <c r="C13" s="62" t="s">
        <v>55</v>
      </c>
      <c r="D13" s="9"/>
      <c r="E13" s="9"/>
      <c r="F13" s="9"/>
      <c r="G13" s="9"/>
      <c r="H13" s="9"/>
      <c r="I13" s="9"/>
      <c r="J13" s="9"/>
      <c r="K13" s="9"/>
      <c r="L13" s="9"/>
      <c r="M13" s="97" t="s">
        <v>0</v>
      </c>
      <c r="N13" s="48" t="s">
        <v>204</v>
      </c>
      <c r="O13" s="48" t="s">
        <v>205</v>
      </c>
      <c r="P13" s="48" t="s">
        <v>206</v>
      </c>
      <c r="Q13" s="48" t="s">
        <v>207</v>
      </c>
      <c r="R13" s="48" t="s">
        <v>208</v>
      </c>
      <c r="S13" s="48" t="s">
        <v>209</v>
      </c>
      <c r="T13" s="48" t="s">
        <v>210</v>
      </c>
      <c r="U13" s="48" t="s">
        <v>202</v>
      </c>
      <c r="V13" s="5" t="s">
        <v>25</v>
      </c>
      <c r="W13" s="6" t="s">
        <v>1</v>
      </c>
      <c r="X13" s="48" t="s">
        <v>2</v>
      </c>
      <c r="Y13" s="48" t="s">
        <v>10</v>
      </c>
      <c r="Z13" s="48" t="s">
        <v>24</v>
      </c>
      <c r="AA13" s="7"/>
      <c r="AB13" s="40" t="s">
        <v>15</v>
      </c>
      <c r="AC13" s="40" t="s">
        <v>16</v>
      </c>
      <c r="AD13" s="40" t="s">
        <v>17</v>
      </c>
      <c r="AE13" s="40" t="s">
        <v>3</v>
      </c>
      <c r="AF13" s="41" t="s">
        <v>4</v>
      </c>
      <c r="AG13" s="41" t="s">
        <v>14</v>
      </c>
      <c r="AH13" s="41" t="s">
        <v>19</v>
      </c>
      <c r="AI13" s="41" t="s">
        <v>5</v>
      </c>
      <c r="AJ13" s="41" t="s">
        <v>6</v>
      </c>
      <c r="AK13" s="42" t="s">
        <v>18</v>
      </c>
      <c r="AL13" s="39"/>
      <c r="AM13" s="40" t="s">
        <v>11</v>
      </c>
      <c r="AN13" s="11"/>
    </row>
    <row r="14" spans="1:40" s="8" customFormat="1" ht="15" customHeight="1" x14ac:dyDescent="0.25">
      <c r="A14" s="60" t="s">
        <v>220</v>
      </c>
      <c r="B14" s="13">
        <v>0.3</v>
      </c>
      <c r="C14" s="62" t="s">
        <v>7</v>
      </c>
      <c r="D14" s="9"/>
      <c r="E14" s="98" t="s">
        <v>196</v>
      </c>
      <c r="F14" s="98"/>
      <c r="G14" s="98"/>
      <c r="H14" s="98"/>
      <c r="I14" s="98"/>
      <c r="J14" s="98"/>
      <c r="K14" s="9"/>
      <c r="L14" s="9"/>
      <c r="M14" s="97"/>
      <c r="N14" s="48"/>
      <c r="O14" s="48"/>
      <c r="P14" s="48"/>
      <c r="Q14" s="48"/>
      <c r="R14" s="48"/>
      <c r="S14" s="48"/>
      <c r="T14" s="48"/>
      <c r="U14" s="48"/>
      <c r="V14" s="5" t="s">
        <v>12</v>
      </c>
      <c r="W14" s="6" t="s">
        <v>7</v>
      </c>
      <c r="X14" s="48" t="s">
        <v>8</v>
      </c>
      <c r="Y14" s="48" t="s">
        <v>8</v>
      </c>
      <c r="Z14" s="48" t="s">
        <v>8</v>
      </c>
      <c r="AA14" s="7"/>
      <c r="AB14" s="9"/>
      <c r="AC14" s="9"/>
      <c r="AD14" s="9"/>
      <c r="AE14" s="9"/>
      <c r="AF14" s="43"/>
      <c r="AG14" s="43"/>
      <c r="AH14" s="43"/>
      <c r="AI14" s="41"/>
      <c r="AJ14" s="41"/>
      <c r="AK14" s="42" t="s">
        <v>8</v>
      </c>
      <c r="AL14" s="39"/>
      <c r="AM14" s="40" t="s">
        <v>8</v>
      </c>
      <c r="AN14" s="11"/>
    </row>
    <row r="15" spans="1:40" x14ac:dyDescent="0.25">
      <c r="A15" s="60" t="s">
        <v>221</v>
      </c>
      <c r="B15" s="13">
        <v>0.35</v>
      </c>
      <c r="C15" s="62" t="s">
        <v>7</v>
      </c>
      <c r="E15" s="65" t="s">
        <v>222</v>
      </c>
      <c r="F15" s="44"/>
      <c r="G15" s="44"/>
      <c r="H15" s="44"/>
      <c r="I15" s="44"/>
      <c r="J15" s="44"/>
      <c r="AM15" s="3"/>
    </row>
    <row r="16" spans="1:40" x14ac:dyDescent="0.25">
      <c r="A16" s="61" t="s">
        <v>232</v>
      </c>
      <c r="B16" s="50">
        <v>0.1</v>
      </c>
      <c r="C16" s="63" t="s">
        <v>7</v>
      </c>
      <c r="E16" s="66" t="s">
        <v>223</v>
      </c>
      <c r="F16" s="44"/>
      <c r="G16" s="44"/>
      <c r="H16" s="44"/>
      <c r="I16" s="44"/>
      <c r="J16" s="44"/>
      <c r="AM16" s="3"/>
    </row>
    <row r="17" spans="1:40" x14ac:dyDescent="0.25">
      <c r="A17" s="80" t="s">
        <v>237</v>
      </c>
      <c r="B17" s="81"/>
      <c r="C17" s="82"/>
      <c r="E17" s="65" t="s">
        <v>224</v>
      </c>
      <c r="F17" s="44"/>
      <c r="G17" s="44"/>
      <c r="H17" s="44"/>
      <c r="I17" s="44"/>
      <c r="J17" s="44"/>
      <c r="AM17" s="3"/>
    </row>
    <row r="18" spans="1:40" x14ac:dyDescent="0.25">
      <c r="A18" s="51" t="s">
        <v>21</v>
      </c>
      <c r="B18" s="52">
        <f>VLOOKUP($B$12,texture!$A$1:$B$99,2,FALSE)</f>
        <v>0.23</v>
      </c>
      <c r="C18" s="53" t="s">
        <v>23</v>
      </c>
      <c r="E18" s="65" t="s">
        <v>225</v>
      </c>
      <c r="F18" s="44"/>
      <c r="G18" s="44"/>
      <c r="H18" s="44"/>
      <c r="I18" s="44"/>
      <c r="J18" s="44"/>
      <c r="AM18" s="3"/>
    </row>
    <row r="19" spans="1:40" x14ac:dyDescent="0.25">
      <c r="A19" s="51" t="s">
        <v>22</v>
      </c>
      <c r="B19" s="52">
        <f>VLOOKUP($B$12,texture!$A$1:$C$99,3,FALSE)</f>
        <v>0.11</v>
      </c>
      <c r="C19" s="53" t="s">
        <v>23</v>
      </c>
      <c r="E19" s="65" t="s">
        <v>226</v>
      </c>
      <c r="F19" s="44"/>
      <c r="G19" s="44"/>
      <c r="H19" s="44"/>
      <c r="I19" s="44"/>
      <c r="J19" s="44"/>
      <c r="AM19" s="3"/>
    </row>
    <row r="20" spans="1:40" x14ac:dyDescent="0.25">
      <c r="A20" s="51" t="s">
        <v>50</v>
      </c>
      <c r="B20" s="54">
        <f>1000*($B$18-$B$19)*$B$14</f>
        <v>36</v>
      </c>
      <c r="C20" s="53" t="s">
        <v>8</v>
      </c>
      <c r="E20" s="65" t="s">
        <v>227</v>
      </c>
      <c r="F20" s="44"/>
      <c r="G20" s="44"/>
      <c r="H20" s="44"/>
      <c r="I20" s="44"/>
      <c r="J20" s="44"/>
      <c r="AM20" s="3"/>
    </row>
    <row r="21" spans="1:40" x14ac:dyDescent="0.25">
      <c r="A21" s="51" t="s">
        <v>2</v>
      </c>
      <c r="B21" s="55">
        <f>B20*0.6</f>
        <v>21.599999999999998</v>
      </c>
      <c r="C21" s="53" t="s">
        <v>8</v>
      </c>
      <c r="E21" s="65" t="s">
        <v>228</v>
      </c>
      <c r="F21" s="44"/>
      <c r="G21" s="44"/>
      <c r="H21" s="44"/>
      <c r="I21" s="44"/>
      <c r="J21" s="44"/>
      <c r="AM21" s="3"/>
    </row>
    <row r="22" spans="1:40" x14ac:dyDescent="0.25">
      <c r="A22" s="51" t="s">
        <v>51</v>
      </c>
      <c r="B22" s="54">
        <f>1000*($B$18-$B$19*0.5)*$B$16</f>
        <v>17.500000000000004</v>
      </c>
      <c r="C22" s="53" t="s">
        <v>8</v>
      </c>
      <c r="E22" s="65" t="s">
        <v>229</v>
      </c>
      <c r="F22" s="44"/>
      <c r="G22" s="44"/>
      <c r="H22" s="44"/>
      <c r="I22" s="44"/>
      <c r="J22" s="44"/>
    </row>
    <row r="23" spans="1:40" s="1" customFormat="1" x14ac:dyDescent="0.25">
      <c r="A23" s="51" t="s">
        <v>52</v>
      </c>
      <c r="B23" s="54">
        <f>VLOOKUP($B$12,texture!$A$1:$D$100,4,FALSE)</f>
        <v>8</v>
      </c>
      <c r="C23" s="53" t="s">
        <v>8</v>
      </c>
      <c r="D23" s="2"/>
      <c r="E23" s="65" t="s">
        <v>230</v>
      </c>
      <c r="F23" s="44"/>
      <c r="G23" s="44"/>
      <c r="H23" s="44"/>
      <c r="I23" s="44"/>
      <c r="J23" s="44"/>
      <c r="AM23"/>
      <c r="AN23" s="4"/>
    </row>
    <row r="24" spans="1:40" s="1" customFormat="1" x14ac:dyDescent="0.25">
      <c r="A24" s="51" t="s">
        <v>20</v>
      </c>
      <c r="B24" s="52">
        <v>0.6</v>
      </c>
      <c r="C24" s="53" t="s">
        <v>55</v>
      </c>
      <c r="D24" s="2"/>
      <c r="E24" s="2" t="s">
        <v>233</v>
      </c>
      <c r="F24" s="44"/>
      <c r="G24" s="44"/>
      <c r="H24" s="44"/>
      <c r="I24" s="44"/>
      <c r="J24" s="44"/>
      <c r="AM24"/>
      <c r="AN24" s="4"/>
    </row>
    <row r="25" spans="1:40" x14ac:dyDescent="0.25">
      <c r="A25" s="56" t="s">
        <v>192</v>
      </c>
      <c r="B25" s="57">
        <f>VLOOKUP($B$9,kcb!$A$2:$D$115,IF($B$10="Initial Stage",2,IF($B$10="Crop Development Stage",3,IF($B$10="Mid Season Stage",3,IF($B$10="Late Season Stage",4,3)))),FALSE)</f>
        <v>0.15</v>
      </c>
      <c r="C25" s="58" t="s">
        <v>55</v>
      </c>
      <c r="E25" s="65" t="s">
        <v>234</v>
      </c>
      <c r="F25" s="44"/>
      <c r="G25" s="44"/>
      <c r="H25" s="44"/>
      <c r="I25" s="44"/>
      <c r="J25" s="44"/>
    </row>
    <row r="26" spans="1:40" x14ac:dyDescent="0.25">
      <c r="E26" s="65" t="s">
        <v>235</v>
      </c>
      <c r="F26" s="44"/>
      <c r="G26" s="44"/>
      <c r="H26" s="44"/>
      <c r="I26" s="44"/>
      <c r="J26" s="44"/>
    </row>
    <row r="27" spans="1:40" x14ac:dyDescent="0.25">
      <c r="E27" s="67" t="s">
        <v>236</v>
      </c>
      <c r="F27" s="44"/>
      <c r="G27" s="44"/>
      <c r="H27" s="44"/>
      <c r="I27" s="44"/>
      <c r="J27" s="44"/>
    </row>
  </sheetData>
  <mergeCells count="12">
    <mergeCell ref="B4:C4"/>
    <mergeCell ref="A1:C1"/>
    <mergeCell ref="E1:J1"/>
    <mergeCell ref="L1:AL1"/>
    <mergeCell ref="B2:C2"/>
    <mergeCell ref="B3:C3"/>
    <mergeCell ref="A5:C5"/>
    <mergeCell ref="B6:C6"/>
    <mergeCell ref="A7:C7"/>
    <mergeCell ref="M13:M14"/>
    <mergeCell ref="A17:C17"/>
    <mergeCell ref="E14:J1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region!$A$2:$A$5</xm:f>
          </x14:formula1>
          <xm:sqref>B4:C4</xm:sqref>
        </x14:dataValidation>
        <x14:dataValidation type="list" allowBlank="1" showInputMessage="1" showErrorMessage="1">
          <x14:formula1>
            <xm:f>kcb!$A$2:$A$115</xm:f>
          </x14:formula1>
          <xm:sqref>B9</xm:sqref>
        </x14:dataValidation>
        <x14:dataValidation type="list" allowBlank="1" showInputMessage="1" showErrorMessage="1">
          <x14:formula1>
            <xm:f>texture!$A$2:$A$10</xm:f>
          </x14:formula1>
          <xm:sqref>B12</xm:sqref>
        </x14:dataValidation>
        <x14:dataValidation type="list" allowBlank="1" showInputMessage="1" showErrorMessage="1">
          <x14:formula1>
            <xm:f>'1-fc'!$A$2:$A$5</xm:f>
          </x14:formula1>
          <xm:sqref>B10</xm:sqref>
        </x14:dataValidation>
        <x14:dataValidation type="list" allowBlank="1" showInputMessage="1" showErrorMessage="1">
          <x14:formula1>
            <xm:f>fw!$A$2:$A$8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zoomScale="115" zoomScaleNormal="115" workbookViewId="0">
      <selection sqref="A1:C1"/>
    </sheetView>
  </sheetViews>
  <sheetFormatPr defaultRowHeight="15" x14ac:dyDescent="0.25"/>
  <cols>
    <col min="1" max="1" width="47.85546875" bestFit="1" customWidth="1"/>
    <col min="2" max="2" width="27.42578125" customWidth="1"/>
    <col min="3" max="3" width="8.140625" bestFit="1" customWidth="1"/>
    <col min="4" max="4" width="3.7109375" style="2" customWidth="1"/>
    <col min="5" max="5" width="10" style="2" customWidth="1"/>
    <col min="6" max="6" width="21" style="2" bestFit="1" customWidth="1"/>
    <col min="7" max="7" width="20.5703125" style="2" bestFit="1" customWidth="1"/>
    <col min="8" max="8" width="12.42578125" style="2" bestFit="1" customWidth="1"/>
    <col min="9" max="9" width="15.42578125" style="2" bestFit="1" customWidth="1"/>
    <col min="10" max="10" width="12.5703125" style="2" bestFit="1" customWidth="1"/>
    <col min="11" max="11" width="3.7109375" style="2" customWidth="1"/>
    <col min="12" max="12" width="7.140625" style="2" bestFit="1" customWidth="1"/>
    <col min="13" max="13" width="6" style="1" hidden="1" customWidth="1"/>
    <col min="14" max="14" width="4.42578125" style="1" hidden="1" customWidth="1"/>
    <col min="15" max="15" width="8" style="1" hidden="1" customWidth="1"/>
    <col min="16" max="16" width="7" style="1" hidden="1" customWidth="1"/>
    <col min="17" max="17" width="6.7109375" style="1" hidden="1" customWidth="1"/>
    <col min="18" max="18" width="9.140625" style="1" hidden="1" customWidth="1"/>
    <col min="19" max="19" width="6.7109375" style="1" hidden="1" customWidth="1"/>
    <col min="20" max="21" width="7.28515625" style="1" hidden="1" customWidth="1"/>
    <col min="22" max="22" width="12.5703125" style="3" hidden="1" customWidth="1"/>
    <col min="23" max="23" width="5" style="2" hidden="1" customWidth="1"/>
    <col min="24" max="24" width="5.42578125" style="2" hidden="1" customWidth="1"/>
    <col min="25" max="25" width="9" style="2" hidden="1" customWidth="1"/>
    <col min="26" max="26" width="7.7109375" style="2" hidden="1" customWidth="1"/>
    <col min="27" max="27" width="14.5703125" style="2" bestFit="1" customWidth="1"/>
    <col min="28" max="30" width="5" style="2" hidden="1" customWidth="1"/>
    <col min="31" max="33" width="5" style="3" hidden="1" customWidth="1"/>
    <col min="34" max="34" width="6.7109375" style="3" hidden="1" customWidth="1"/>
    <col min="35" max="35" width="5" style="3" hidden="1" customWidth="1"/>
    <col min="36" max="36" width="5" style="1" hidden="1" customWidth="1"/>
    <col min="37" max="37" width="4.7109375" style="2" hidden="1" customWidth="1"/>
    <col min="38" max="38" width="18.7109375" style="2" customWidth="1"/>
    <col min="39" max="39" width="7.28515625" hidden="1" customWidth="1"/>
    <col min="40" max="40" width="19" style="4" customWidth="1"/>
    <col min="41" max="41" width="2.7109375" customWidth="1"/>
    <col min="42" max="44" width="14.140625" customWidth="1"/>
    <col min="45" max="45" width="9.140625" customWidth="1"/>
  </cols>
  <sheetData>
    <row r="1" spans="1:40" x14ac:dyDescent="0.25">
      <c r="A1" s="80" t="s">
        <v>68</v>
      </c>
      <c r="B1" s="81"/>
      <c r="C1" s="82"/>
      <c r="E1" s="83" t="s">
        <v>231</v>
      </c>
      <c r="F1" s="84"/>
      <c r="G1" s="84"/>
      <c r="H1" s="84"/>
      <c r="I1" s="84"/>
      <c r="J1" s="85"/>
      <c r="L1" s="86" t="s">
        <v>71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40" s="8" customFormat="1" x14ac:dyDescent="0.25">
      <c r="A2" s="59" t="s">
        <v>217</v>
      </c>
      <c r="B2" s="87">
        <v>25.67</v>
      </c>
      <c r="C2" s="88"/>
      <c r="D2" s="9"/>
      <c r="E2" s="68" t="s">
        <v>0</v>
      </c>
      <c r="F2" s="69" t="s">
        <v>193</v>
      </c>
      <c r="G2" s="69" t="s">
        <v>194</v>
      </c>
      <c r="H2" s="69" t="s">
        <v>66</v>
      </c>
      <c r="I2" s="69" t="s">
        <v>73</v>
      </c>
      <c r="J2" s="70" t="s">
        <v>67</v>
      </c>
      <c r="K2" s="10"/>
      <c r="L2" s="73" t="s">
        <v>0</v>
      </c>
      <c r="M2" s="74" t="s">
        <v>13</v>
      </c>
      <c r="N2" s="74"/>
      <c r="O2" s="74"/>
      <c r="P2" s="74"/>
      <c r="Q2" s="74"/>
      <c r="R2" s="74"/>
      <c r="S2" s="74"/>
      <c r="T2" s="74"/>
      <c r="U2" s="74"/>
      <c r="V2" s="75" t="s">
        <v>9</v>
      </c>
      <c r="W2" s="76" t="s">
        <v>9</v>
      </c>
      <c r="X2" s="77" t="s">
        <v>9</v>
      </c>
      <c r="Y2" s="77" t="s">
        <v>9</v>
      </c>
      <c r="Z2" s="77" t="s">
        <v>9</v>
      </c>
      <c r="AA2" s="77" t="s">
        <v>70</v>
      </c>
      <c r="AB2" s="29"/>
      <c r="AC2" s="29"/>
      <c r="AD2" s="29"/>
      <c r="AE2" s="29" t="s">
        <v>9</v>
      </c>
      <c r="AF2" s="30" t="s">
        <v>9</v>
      </c>
      <c r="AG2" s="30" t="s">
        <v>9</v>
      </c>
      <c r="AH2" s="30" t="s">
        <v>9</v>
      </c>
      <c r="AI2" s="30" t="s">
        <v>9</v>
      </c>
      <c r="AJ2" s="30" t="s">
        <v>9</v>
      </c>
      <c r="AK2" s="31">
        <v>0</v>
      </c>
      <c r="AL2" s="29" t="s">
        <v>72</v>
      </c>
      <c r="AM2" s="18">
        <f>$B$21</f>
        <v>12.599999999999998</v>
      </c>
      <c r="AN2" s="11"/>
    </row>
    <row r="3" spans="1:40" s="8" customFormat="1" x14ac:dyDescent="0.25">
      <c r="A3" s="64" t="s">
        <v>218</v>
      </c>
      <c r="B3" s="89">
        <v>-80.400000000000006</v>
      </c>
      <c r="C3" s="90"/>
      <c r="D3" s="9"/>
      <c r="E3" s="71" t="s">
        <v>195</v>
      </c>
      <c r="F3" s="14">
        <v>25</v>
      </c>
      <c r="G3" s="14">
        <v>18</v>
      </c>
      <c r="H3" s="14">
        <v>0</v>
      </c>
      <c r="I3" s="14">
        <v>21</v>
      </c>
      <c r="J3" s="15">
        <v>65</v>
      </c>
      <c r="K3" s="10"/>
      <c r="L3" s="71" t="s">
        <v>195</v>
      </c>
      <c r="M3" s="21">
        <v>1</v>
      </c>
      <c r="N3" s="21" t="str">
        <f>TEXT(($B$6 -DATEVALUE("1/1/"&amp;TEXT($B$6,"yy"))+1),"000")</f>
        <v>335</v>
      </c>
      <c r="O3" s="45">
        <f>$B$2/180*PI()</f>
        <v>0.44802601898694444</v>
      </c>
      <c r="P3" s="45">
        <f>1+0.033*COS(2*PI()/365*$N3)</f>
        <v>1.0286964498484381</v>
      </c>
      <c r="Q3" s="45">
        <f>0.409*SIN(2*PI()/365*$N3-1.39)</f>
        <v>-0.38617904451660728</v>
      </c>
      <c r="R3" s="45">
        <f>ACOS(-TAN($O3)*TAN($Q3))</f>
        <v>1.3741116769367903</v>
      </c>
      <c r="S3" s="45">
        <f>SIN($O3)*SIN($Q3)</f>
        <v>-0.16316066561923376</v>
      </c>
      <c r="T3" s="45">
        <f>COS($O3)*COS($Q3)</f>
        <v>0.83492741980223129</v>
      </c>
      <c r="U3" s="45">
        <f>24*60/PI()*0.082*$P3*($R3*$S3+$T3*SIN($R3))</f>
        <v>22.991099350276617</v>
      </c>
      <c r="V3" s="19">
        <f>0.0023*(AVERAGE($F3:$G3)+17.8)*(($F3-$G3)^0.5)*$U3</f>
        <v>5.4983090175799916</v>
      </c>
      <c r="W3" s="20">
        <f>$B$14</f>
        <v>0.3</v>
      </c>
      <c r="X3" s="21">
        <f t="shared" ref="X3:X12" si="0" xml:space="preserve"> $B$24 * 1000 * ($B$18 - $B$19) * W3</f>
        <v>12.599999999999998</v>
      </c>
      <c r="Y3" s="21">
        <v>0</v>
      </c>
      <c r="Z3" s="19">
        <f t="shared" ref="Z3:Z12" si="1">H3</f>
        <v>0</v>
      </c>
      <c r="AA3" s="22">
        <v>40</v>
      </c>
      <c r="AB3" s="23">
        <f>VLOOKUP($B$10,'1-fc'!$A$2:$B$5,2,FALSE)</f>
        <v>0.8</v>
      </c>
      <c r="AC3" s="23">
        <f>IF($Z3&gt;0,1,VLOOKUP($B$13,fw!$A$2:$B$8,2,FALSE))</f>
        <v>0.8</v>
      </c>
      <c r="AD3" s="23">
        <f>MIN(AB3,AC3)</f>
        <v>0.8</v>
      </c>
      <c r="AE3" s="23">
        <f t="shared" ref="AE3:AE12" si="2">IF(Y3&lt;X3,1, (1000 * ($B$18 - $B$19) * W3 - Y3) / (1000 * ($B$18 - $B$19) * W3 - X3))</f>
        <v>1</v>
      </c>
      <c r="AF3" s="23">
        <f t="shared" ref="AF3:AF12" si="3">$B$25+(0.04*($I3*1000/3600-2)-0.004*(J3-45))*(($B$11/3)^0.3)</f>
        <v>0.17147118683271728</v>
      </c>
      <c r="AG3" s="23">
        <f>IF(Y3&lt;=$B$23,1,IF(Y3&lt;=$B$22,($B$22-Y3)/($B$22-$B$23),1))</f>
        <v>1</v>
      </c>
      <c r="AH3" s="23">
        <f t="shared" ref="AH3:AH12" si="4" xml:space="preserve"> MAX(1.2 + (0.04 * ($I3*1000/3600 - 2) - 0.004 * ($J3 - 45)) * ($B$11 / 3)^0.3, AF3 + 0.05)</f>
        <v>1.2214711868327173</v>
      </c>
      <c r="AI3" s="23">
        <f>MIN(AG3*(AH3-AF3),AD3*AH3)</f>
        <v>0.97717694946617384</v>
      </c>
      <c r="AJ3" s="23">
        <f>AF3+AI3</f>
        <v>1.1486481362988912</v>
      </c>
      <c r="AK3" s="32">
        <f>AJ3*V3</f>
        <v>6.3156224058386448</v>
      </c>
      <c r="AL3" s="36">
        <f>IF(Z3+AA3-AK2-AM2&gt;0,Z3+AA3-AK2-AM2,0)</f>
        <v>27.400000000000002</v>
      </c>
      <c r="AM3" s="33">
        <f>AM2-Z3-AA3-0+AK3+AL3</f>
        <v>6.3156224058386456</v>
      </c>
      <c r="AN3" s="11"/>
    </row>
    <row r="4" spans="1:40" s="8" customFormat="1" x14ac:dyDescent="0.25">
      <c r="A4" s="64" t="s">
        <v>215</v>
      </c>
      <c r="B4" s="89" t="s">
        <v>198</v>
      </c>
      <c r="C4" s="90"/>
      <c r="D4" s="9"/>
      <c r="E4" s="71" t="s">
        <v>58</v>
      </c>
      <c r="F4" s="14">
        <v>23</v>
      </c>
      <c r="G4" s="14">
        <v>19</v>
      </c>
      <c r="H4" s="14">
        <v>0</v>
      </c>
      <c r="I4" s="14">
        <v>17</v>
      </c>
      <c r="J4" s="15">
        <v>70</v>
      </c>
      <c r="K4" s="10"/>
      <c r="L4" s="71" t="s">
        <v>58</v>
      </c>
      <c r="M4" s="21">
        <v>2</v>
      </c>
      <c r="N4" s="21">
        <f>N3+1</f>
        <v>336</v>
      </c>
      <c r="O4" s="45">
        <f t="shared" ref="O4:O12" si="5">$B$2/180*PI()</f>
        <v>0.44802601898694444</v>
      </c>
      <c r="P4" s="45">
        <f t="shared" ref="P4:P12" si="6">1+0.033*COS(2*PI()/365*$N4)</f>
        <v>1.0289726827951293</v>
      </c>
      <c r="Q4" s="45">
        <f t="shared" ref="Q4:Q12" si="7">0.409*SIN(2*PI()/365*$N4-1.39)</f>
        <v>-0.38844063667040096</v>
      </c>
      <c r="R4" s="45">
        <f t="shared" ref="R4:R12" si="8">ACOS(-TAN($O4)*TAN($Q4))</f>
        <v>1.3728187465475619</v>
      </c>
      <c r="S4" s="45">
        <f t="shared" ref="S4:S12" si="9">SIN($O4)*SIN($Q4)</f>
        <v>-0.16406779091184798</v>
      </c>
      <c r="T4" s="45">
        <f t="shared" ref="T4:T12" si="10">COS($O4)*COS($Q4)</f>
        <v>0.8341575253608613</v>
      </c>
      <c r="U4" s="45">
        <f t="shared" ref="U4:U12" si="11">24*60/PI()*0.082*$P4*($R4*$S4+$T4*SIN($R4))</f>
        <v>22.919889881279179</v>
      </c>
      <c r="V4" s="19">
        <f t="shared" ref="V4:V12" si="12">0.0023*(AVERAGE($F4:$G4)+17.8)*(($F4-$G4)^0.5)*$U4</f>
        <v>4.0907419460107075</v>
      </c>
      <c r="W4" s="20">
        <f t="shared" ref="W4:W11" si="13">($W$12-$W$3)/COUNT($M$4:$M$12)+$W3</f>
        <v>0.30555555555555552</v>
      </c>
      <c r="X4" s="21">
        <f t="shared" si="0"/>
        <v>12.83333333333333</v>
      </c>
      <c r="Y4" s="21">
        <f>IF(Z4&gt;0,MAX(AM3-Z4,0),AM3)</f>
        <v>6.3156224058386456</v>
      </c>
      <c r="Z4" s="19">
        <f t="shared" si="1"/>
        <v>0</v>
      </c>
      <c r="AA4" s="22">
        <f>IF(Y4 &gt;= X4,X4,0)</f>
        <v>0</v>
      </c>
      <c r="AB4" s="23">
        <f>AB3</f>
        <v>0.8</v>
      </c>
      <c r="AC4" s="23">
        <f>IF($Z4&gt;0,1,VLOOKUP($B$13,fw!$A$2:$B$8,2,FALSE))</f>
        <v>0.8</v>
      </c>
      <c r="AD4" s="23">
        <f t="shared" ref="AD4:AD12" si="14">MIN(AB4,AC4)</f>
        <v>0.8</v>
      </c>
      <c r="AE4" s="23">
        <f t="shared" si="2"/>
        <v>1</v>
      </c>
      <c r="AF4" s="23">
        <f t="shared" si="3"/>
        <v>0.15260256810093542</v>
      </c>
      <c r="AG4" s="23">
        <f t="shared" ref="AG4:AG12" si="15">IF(Y4&lt;=$B$23,1,IF(Y4&lt;=$B$22,($B$22-Y4)/($B$22-$B$23),1))</f>
        <v>0.63687551883227089</v>
      </c>
      <c r="AH4" s="23">
        <f t="shared" si="4"/>
        <v>1.2026025681009354</v>
      </c>
      <c r="AI4" s="23">
        <f t="shared" ref="AI4:AI12" si="16">MIN(AG4*(AH4-AF4),AD4*AH4)</f>
        <v>0.66871929477388437</v>
      </c>
      <c r="AJ4" s="23">
        <f t="shared" ref="AJ4:AJ12" si="17">AF4+AI4</f>
        <v>0.82132186287481979</v>
      </c>
      <c r="AK4" s="32">
        <f t="shared" ref="AK4:AK12" si="18">AJ4*V4</f>
        <v>3.35981579563768</v>
      </c>
      <c r="AL4" s="36">
        <f t="shared" ref="AL4:AL12" si="19">IF(Z4+AA4-AK4-AM3&gt;0,Z4+AA4-AK4-AM3,0)</f>
        <v>0</v>
      </c>
      <c r="AM4" s="33">
        <f t="shared" ref="AM4:AM12" si="20">AM3-Z4-AA4-0+AK4+AL4</f>
        <v>9.6754382014763252</v>
      </c>
      <c r="AN4" s="11"/>
    </row>
    <row r="5" spans="1:40" s="8" customFormat="1" x14ac:dyDescent="0.25">
      <c r="A5" s="91" t="s">
        <v>203</v>
      </c>
      <c r="B5" s="92"/>
      <c r="C5" s="93"/>
      <c r="D5" s="9"/>
      <c r="E5" s="71" t="s">
        <v>57</v>
      </c>
      <c r="F5" s="14">
        <v>27</v>
      </c>
      <c r="G5" s="14">
        <v>20</v>
      </c>
      <c r="H5" s="14">
        <v>0</v>
      </c>
      <c r="I5" s="14">
        <v>21</v>
      </c>
      <c r="J5" s="15">
        <v>72</v>
      </c>
      <c r="K5" s="10"/>
      <c r="L5" s="71" t="s">
        <v>57</v>
      </c>
      <c r="M5" s="21">
        <v>3</v>
      </c>
      <c r="N5" s="21">
        <f t="shared" ref="N5:N12" si="21">N4+1</f>
        <v>337</v>
      </c>
      <c r="O5" s="45">
        <f t="shared" si="5"/>
        <v>0.44802601898694444</v>
      </c>
      <c r="P5" s="45">
        <f t="shared" si="6"/>
        <v>1.0292403305106266</v>
      </c>
      <c r="Q5" s="45">
        <f t="shared" si="7"/>
        <v>-0.39058712548031388</v>
      </c>
      <c r="R5" s="45">
        <f t="shared" si="8"/>
        <v>1.3715890931750225</v>
      </c>
      <c r="S5" s="45">
        <f t="shared" si="9"/>
        <v>-0.1649279720954992</v>
      </c>
      <c r="T5" s="45">
        <f t="shared" si="10"/>
        <v>0.83342286814830224</v>
      </c>
      <c r="U5" s="45">
        <f t="shared" si="11"/>
        <v>22.852328261673438</v>
      </c>
      <c r="V5" s="19">
        <f t="shared" si="12"/>
        <v>5.7432452428494933</v>
      </c>
      <c r="W5" s="20">
        <f t="shared" si="13"/>
        <v>0.31111111111111106</v>
      </c>
      <c r="X5" s="21">
        <f t="shared" si="0"/>
        <v>13.066666666666663</v>
      </c>
      <c r="Y5" s="21">
        <f t="shared" ref="Y5:Y12" si="22">IF(Z5&gt;0,MAX(AM4-Z5,0),AM4)</f>
        <v>9.6754382014763252</v>
      </c>
      <c r="Z5" s="19">
        <f t="shared" si="1"/>
        <v>0</v>
      </c>
      <c r="AA5" s="22">
        <f t="shared" ref="AA5:AA12" si="23">IF(Y5 &gt;= X5,X5,0)</f>
        <v>0</v>
      </c>
      <c r="AB5" s="23">
        <f t="shared" ref="AB5:AB12" si="24">AB4</f>
        <v>0.8</v>
      </c>
      <c r="AC5" s="23">
        <f>IF($Z5&gt;0,1,VLOOKUP($B$13,fw!$A$2:$B$8,2,FALSE))</f>
        <v>0.8</v>
      </c>
      <c r="AD5" s="23">
        <f t="shared" si="14"/>
        <v>0.8</v>
      </c>
      <c r="AE5" s="23">
        <f t="shared" si="2"/>
        <v>1</v>
      </c>
      <c r="AF5" s="23">
        <f t="shared" si="3"/>
        <v>0.16327309731477069</v>
      </c>
      <c r="AG5" s="23">
        <f t="shared" si="15"/>
        <v>1</v>
      </c>
      <c r="AH5" s="23">
        <f t="shared" si="4"/>
        <v>1.2132730973147707</v>
      </c>
      <c r="AI5" s="23">
        <f t="shared" si="16"/>
        <v>0.97061847785181665</v>
      </c>
      <c r="AJ5" s="23">
        <f t="shared" si="17"/>
        <v>1.1338915751665875</v>
      </c>
      <c r="AK5" s="32">
        <f t="shared" si="18"/>
        <v>6.5122173949826223</v>
      </c>
      <c r="AL5" s="36">
        <f t="shared" si="19"/>
        <v>0</v>
      </c>
      <c r="AM5" s="33">
        <f t="shared" si="20"/>
        <v>16.187655596458946</v>
      </c>
      <c r="AN5" s="11"/>
    </row>
    <row r="6" spans="1:40" s="8" customFormat="1" x14ac:dyDescent="0.25">
      <c r="A6" s="56" t="s">
        <v>216</v>
      </c>
      <c r="B6" s="94">
        <v>43070</v>
      </c>
      <c r="C6" s="95"/>
      <c r="D6" s="9"/>
      <c r="E6" s="71" t="s">
        <v>59</v>
      </c>
      <c r="F6" s="14">
        <v>29</v>
      </c>
      <c r="G6" s="14">
        <v>21</v>
      </c>
      <c r="H6" s="14">
        <v>0</v>
      </c>
      <c r="I6" s="14">
        <v>23</v>
      </c>
      <c r="J6" s="15">
        <v>74</v>
      </c>
      <c r="K6" s="10"/>
      <c r="L6" s="71" t="s">
        <v>59</v>
      </c>
      <c r="M6" s="21">
        <v>4</v>
      </c>
      <c r="N6" s="21">
        <f t="shared" si="21"/>
        <v>338</v>
      </c>
      <c r="O6" s="45">
        <f t="shared" si="5"/>
        <v>0.44802601898694444</v>
      </c>
      <c r="P6" s="45">
        <f t="shared" si="6"/>
        <v>1.0294993136851354</v>
      </c>
      <c r="Q6" s="45">
        <f t="shared" si="7"/>
        <v>-0.39261787489538619</v>
      </c>
      <c r="R6" s="45">
        <f t="shared" si="8"/>
        <v>1.370423458970222</v>
      </c>
      <c r="S6" s="45">
        <f t="shared" si="9"/>
        <v>-0.16574107255198089</v>
      </c>
      <c r="T6" s="45">
        <f t="shared" si="10"/>
        <v>0.83272428891213568</v>
      </c>
      <c r="U6" s="45">
        <f t="shared" si="11"/>
        <v>22.788449174392504</v>
      </c>
      <c r="V6" s="19">
        <f t="shared" si="12"/>
        <v>6.3449962478449944</v>
      </c>
      <c r="W6" s="20">
        <f t="shared" si="13"/>
        <v>0.3166666666666666</v>
      </c>
      <c r="X6" s="21">
        <f t="shared" si="0"/>
        <v>13.299999999999995</v>
      </c>
      <c r="Y6" s="21">
        <f t="shared" si="22"/>
        <v>16.187655596458946</v>
      </c>
      <c r="Z6" s="19">
        <f t="shared" si="1"/>
        <v>0</v>
      </c>
      <c r="AA6" s="22">
        <f t="shared" si="23"/>
        <v>13.299999999999995</v>
      </c>
      <c r="AB6" s="23">
        <f t="shared" si="24"/>
        <v>0.8</v>
      </c>
      <c r="AC6" s="23">
        <f>IF($Z6&gt;0,1,VLOOKUP($B$13,fw!$A$2:$B$8,2,FALSE))</f>
        <v>0.8</v>
      </c>
      <c r="AD6" s="23">
        <f t="shared" si="14"/>
        <v>0.8</v>
      </c>
      <c r="AE6" s="23">
        <f t="shared" si="2"/>
        <v>0.67432455679034375</v>
      </c>
      <c r="AF6" s="23">
        <f t="shared" si="3"/>
        <v>0.16743720627626738</v>
      </c>
      <c r="AG6" s="23">
        <f t="shared" si="15"/>
        <v>1</v>
      </c>
      <c r="AH6" s="23">
        <f t="shared" si="4"/>
        <v>1.2174372062762673</v>
      </c>
      <c r="AI6" s="23">
        <f t="shared" si="16"/>
        <v>0.97394976502101382</v>
      </c>
      <c r="AJ6" s="23">
        <f t="shared" si="17"/>
        <v>1.1413869712972813</v>
      </c>
      <c r="AK6" s="32">
        <f t="shared" si="18"/>
        <v>7.2420960502204119</v>
      </c>
      <c r="AL6" s="36">
        <f t="shared" si="19"/>
        <v>0</v>
      </c>
      <c r="AM6" s="33">
        <f t="shared" si="20"/>
        <v>10.129751646679363</v>
      </c>
      <c r="AN6" s="11"/>
    </row>
    <row r="7" spans="1:40" s="8" customFormat="1" x14ac:dyDescent="0.25">
      <c r="A7" s="80" t="s">
        <v>56</v>
      </c>
      <c r="B7" s="81"/>
      <c r="C7" s="96"/>
      <c r="D7" s="9"/>
      <c r="E7" s="71" t="s">
        <v>60</v>
      </c>
      <c r="F7" s="14">
        <v>27</v>
      </c>
      <c r="G7" s="14">
        <v>19</v>
      </c>
      <c r="H7" s="14">
        <v>20</v>
      </c>
      <c r="I7" s="14">
        <v>14</v>
      </c>
      <c r="J7" s="15">
        <v>76</v>
      </c>
      <c r="K7" s="10"/>
      <c r="L7" s="71" t="s">
        <v>60</v>
      </c>
      <c r="M7" s="21">
        <v>5</v>
      </c>
      <c r="N7" s="21">
        <f t="shared" si="21"/>
        <v>339</v>
      </c>
      <c r="O7" s="45">
        <f t="shared" si="5"/>
        <v>0.44802601898694444</v>
      </c>
      <c r="P7" s="45">
        <f t="shared" si="6"/>
        <v>1.0297495555763521</v>
      </c>
      <c r="Q7" s="45">
        <f t="shared" si="7"/>
        <v>-0.39453228316073946</v>
      </c>
      <c r="R7" s="45">
        <f t="shared" si="8"/>
        <v>1.369322553811068</v>
      </c>
      <c r="S7" s="45">
        <f t="shared" si="9"/>
        <v>-0.16650696484449345</v>
      </c>
      <c r="T7" s="45">
        <f t="shared" si="10"/>
        <v>0.83206258642992448</v>
      </c>
      <c r="U7" s="45">
        <f t="shared" si="11"/>
        <v>22.728285458505251</v>
      </c>
      <c r="V7" s="19">
        <f t="shared" si="12"/>
        <v>6.0325324665878313</v>
      </c>
      <c r="W7" s="20">
        <f t="shared" si="13"/>
        <v>0.32222222222222213</v>
      </c>
      <c r="X7" s="21">
        <f t="shared" si="0"/>
        <v>13.533333333333328</v>
      </c>
      <c r="Y7" s="21">
        <f t="shared" si="22"/>
        <v>0</v>
      </c>
      <c r="Z7" s="19">
        <f t="shared" si="1"/>
        <v>20</v>
      </c>
      <c r="AA7" s="22">
        <f t="shared" si="23"/>
        <v>0</v>
      </c>
      <c r="AB7" s="23">
        <f t="shared" si="24"/>
        <v>0.8</v>
      </c>
      <c r="AC7" s="23">
        <f>IF($Z7&gt;0,1,VLOOKUP($B$13,fw!$A$2:$B$8,2,FALSE))</f>
        <v>1</v>
      </c>
      <c r="AD7" s="23">
        <f t="shared" si="14"/>
        <v>0.8</v>
      </c>
      <c r="AE7" s="23">
        <f t="shared" si="2"/>
        <v>1</v>
      </c>
      <c r="AF7" s="23">
        <f t="shared" si="3"/>
        <v>0.13581600384990192</v>
      </c>
      <c r="AG7" s="23">
        <f t="shared" si="15"/>
        <v>1</v>
      </c>
      <c r="AH7" s="23">
        <f t="shared" si="4"/>
        <v>1.1858160038499019</v>
      </c>
      <c r="AI7" s="23">
        <f t="shared" si="16"/>
        <v>0.94865280307992161</v>
      </c>
      <c r="AJ7" s="23">
        <f t="shared" si="17"/>
        <v>1.0844688069298236</v>
      </c>
      <c r="AK7" s="32">
        <f t="shared" si="18"/>
        <v>6.5420932868059314</v>
      </c>
      <c r="AL7" s="36">
        <f t="shared" si="19"/>
        <v>3.3281550665147055</v>
      </c>
      <c r="AM7" s="33">
        <f t="shared" si="20"/>
        <v>0</v>
      </c>
      <c r="AN7" s="11"/>
    </row>
    <row r="8" spans="1:40" x14ac:dyDescent="0.25">
      <c r="A8" s="78" t="s">
        <v>48</v>
      </c>
      <c r="B8" s="79" t="s">
        <v>49</v>
      </c>
      <c r="C8" s="79" t="s">
        <v>54</v>
      </c>
      <c r="E8" s="71" t="s">
        <v>61</v>
      </c>
      <c r="F8" s="14">
        <v>28</v>
      </c>
      <c r="G8" s="14">
        <v>16</v>
      </c>
      <c r="H8" s="14">
        <v>0</v>
      </c>
      <c r="I8" s="14">
        <v>17</v>
      </c>
      <c r="J8" s="15">
        <v>79</v>
      </c>
      <c r="L8" s="71" t="s">
        <v>61</v>
      </c>
      <c r="M8" s="21">
        <v>6</v>
      </c>
      <c r="N8" s="21">
        <f t="shared" si="21"/>
        <v>340</v>
      </c>
      <c r="O8" s="45">
        <f t="shared" si="5"/>
        <v>0.44802601898694444</v>
      </c>
      <c r="P8" s="45">
        <f t="shared" si="6"/>
        <v>1.0299909820322035</v>
      </c>
      <c r="Q8" s="45">
        <f t="shared" si="7"/>
        <v>-0.39632978299588817</v>
      </c>
      <c r="R8" s="45">
        <f t="shared" si="8"/>
        <v>1.3682870538867027</v>
      </c>
      <c r="S8" s="45">
        <f t="shared" si="9"/>
        <v>-0.16722553046010624</v>
      </c>
      <c r="T8" s="45">
        <f t="shared" si="10"/>
        <v>0.83143851669975499</v>
      </c>
      <c r="U8" s="45">
        <f t="shared" si="11"/>
        <v>22.671868100007945</v>
      </c>
      <c r="V8" s="19">
        <f t="shared" si="12"/>
        <v>7.1893369298597669</v>
      </c>
      <c r="W8" s="20">
        <f t="shared" si="13"/>
        <v>0.32777777777777767</v>
      </c>
      <c r="X8" s="21">
        <f t="shared" si="0"/>
        <v>13.76666666666666</v>
      </c>
      <c r="Y8" s="21">
        <f t="shared" si="22"/>
        <v>0</v>
      </c>
      <c r="Z8" s="19">
        <f t="shared" si="1"/>
        <v>0</v>
      </c>
      <c r="AA8" s="22">
        <f t="shared" si="23"/>
        <v>0</v>
      </c>
      <c r="AB8" s="23">
        <f t="shared" si="24"/>
        <v>0.8</v>
      </c>
      <c r="AC8" s="23">
        <f>IF($Z8&gt;0,1,VLOOKUP($B$13,fw!$A$2:$B$8,2,FALSE))</f>
        <v>0.8</v>
      </c>
      <c r="AD8" s="23">
        <f t="shared" si="14"/>
        <v>0.8</v>
      </c>
      <c r="AE8" s="23">
        <f t="shared" si="2"/>
        <v>1</v>
      </c>
      <c r="AF8" s="23">
        <f t="shared" si="3"/>
        <v>0.14206216729214693</v>
      </c>
      <c r="AG8" s="23">
        <f t="shared" si="15"/>
        <v>1</v>
      </c>
      <c r="AH8" s="23">
        <f t="shared" si="4"/>
        <v>1.192062167292147</v>
      </c>
      <c r="AI8" s="23">
        <f t="shared" si="16"/>
        <v>0.95364973383371765</v>
      </c>
      <c r="AJ8" s="23">
        <f t="shared" si="17"/>
        <v>1.0957119011258647</v>
      </c>
      <c r="AK8" s="32">
        <f t="shared" si="18"/>
        <v>7.8774420352510326</v>
      </c>
      <c r="AL8" s="36">
        <f t="shared" si="19"/>
        <v>0</v>
      </c>
      <c r="AM8" s="33">
        <f t="shared" si="20"/>
        <v>7.8774420352510326</v>
      </c>
    </row>
    <row r="9" spans="1:40" x14ac:dyDescent="0.25">
      <c r="A9" s="59" t="s">
        <v>211</v>
      </c>
      <c r="B9" s="12" t="s">
        <v>93</v>
      </c>
      <c r="C9" s="62" t="s">
        <v>55</v>
      </c>
      <c r="E9" s="71" t="s">
        <v>62</v>
      </c>
      <c r="F9" s="14">
        <v>25</v>
      </c>
      <c r="G9" s="14">
        <v>13</v>
      </c>
      <c r="H9" s="14">
        <v>0</v>
      </c>
      <c r="I9" s="14">
        <v>19</v>
      </c>
      <c r="J9" s="15">
        <v>69</v>
      </c>
      <c r="L9" s="71" t="s">
        <v>62</v>
      </c>
      <c r="M9" s="21">
        <v>7</v>
      </c>
      <c r="N9" s="21">
        <f t="shared" si="21"/>
        <v>341</v>
      </c>
      <c r="O9" s="45">
        <f t="shared" si="5"/>
        <v>0.44802601898694444</v>
      </c>
      <c r="P9" s="45">
        <f t="shared" si="6"/>
        <v>1.0302235215128204</v>
      </c>
      <c r="Q9" s="45">
        <f t="shared" si="7"/>
        <v>-0.39800984176283782</v>
      </c>
      <c r="R9" s="45">
        <f t="shared" si="8"/>
        <v>1.3673176003311915</v>
      </c>
      <c r="S9" s="45">
        <f t="shared" si="9"/>
        <v>-0.167896659562983</v>
      </c>
      <c r="T9" s="45">
        <f t="shared" si="10"/>
        <v>0.83085279217707353</v>
      </c>
      <c r="U9" s="45">
        <f t="shared" si="11"/>
        <v>22.619226223450166</v>
      </c>
      <c r="V9" s="19">
        <f t="shared" si="12"/>
        <v>6.6319924306609215</v>
      </c>
      <c r="W9" s="20">
        <f t="shared" si="13"/>
        <v>0.3333333333333332</v>
      </c>
      <c r="X9" s="21">
        <f t="shared" si="0"/>
        <v>13.999999999999993</v>
      </c>
      <c r="Y9" s="21">
        <f t="shared" si="22"/>
        <v>7.8774420352510326</v>
      </c>
      <c r="Z9" s="19">
        <f t="shared" si="1"/>
        <v>0</v>
      </c>
      <c r="AA9" s="22">
        <f t="shared" si="23"/>
        <v>0</v>
      </c>
      <c r="AB9" s="23">
        <f t="shared" si="24"/>
        <v>0.8</v>
      </c>
      <c r="AC9" s="23">
        <f>IF($Z9&gt;0,1,VLOOKUP($B$13,fw!$A$2:$B$8,2,FALSE))</f>
        <v>0.8</v>
      </c>
      <c r="AD9" s="23">
        <f t="shared" si="14"/>
        <v>0.8</v>
      </c>
      <c r="AE9" s="23">
        <f t="shared" si="2"/>
        <v>1</v>
      </c>
      <c r="AF9" s="23">
        <f t="shared" si="3"/>
        <v>0.16028014399869495</v>
      </c>
      <c r="AG9" s="23">
        <f t="shared" si="15"/>
        <v>0.32451159294979348</v>
      </c>
      <c r="AH9" s="23">
        <f t="shared" si="4"/>
        <v>1.210280143998695</v>
      </c>
      <c r="AI9" s="23">
        <f t="shared" si="16"/>
        <v>0.34073717259728314</v>
      </c>
      <c r="AJ9" s="23">
        <f t="shared" si="17"/>
        <v>0.50101731659597815</v>
      </c>
      <c r="AK9" s="32">
        <f t="shared" si="18"/>
        <v>3.3227430512945735</v>
      </c>
      <c r="AL9" s="36">
        <f t="shared" si="19"/>
        <v>0</v>
      </c>
      <c r="AM9" s="33">
        <f t="shared" si="20"/>
        <v>11.200185086545606</v>
      </c>
    </row>
    <row r="10" spans="1:40" x14ac:dyDescent="0.25">
      <c r="A10" s="59" t="s">
        <v>212</v>
      </c>
      <c r="B10" s="12" t="s">
        <v>28</v>
      </c>
      <c r="C10" s="62" t="s">
        <v>55</v>
      </c>
      <c r="E10" s="71" t="s">
        <v>63</v>
      </c>
      <c r="F10" s="14">
        <v>23</v>
      </c>
      <c r="G10" s="14">
        <v>14</v>
      </c>
      <c r="H10" s="14">
        <v>0</v>
      </c>
      <c r="I10" s="14">
        <v>22</v>
      </c>
      <c r="J10" s="15">
        <v>56</v>
      </c>
      <c r="L10" s="71" t="s">
        <v>63</v>
      </c>
      <c r="M10" s="21">
        <v>8</v>
      </c>
      <c r="N10" s="21">
        <f t="shared" si="21"/>
        <v>342</v>
      </c>
      <c r="O10" s="45">
        <f t="shared" si="5"/>
        <v>0.44802601898694444</v>
      </c>
      <c r="P10" s="45">
        <f t="shared" si="6"/>
        <v>1.0304471051117361</v>
      </c>
      <c r="Q10" s="45">
        <f t="shared" si="7"/>
        <v>-0.39957196162391734</v>
      </c>
      <c r="R10" s="45">
        <f t="shared" si="8"/>
        <v>1.3664147979120085</v>
      </c>
      <c r="S10" s="45">
        <f t="shared" si="9"/>
        <v>-0.16852025075914026</v>
      </c>
      <c r="T10" s="45">
        <f t="shared" si="10"/>
        <v>0.83030608105810544</v>
      </c>
      <c r="U10" s="45">
        <f t="shared" si="11"/>
        <v>22.57038708432918</v>
      </c>
      <c r="V10" s="19">
        <f t="shared" si="12"/>
        <v>5.6532048530119292</v>
      </c>
      <c r="W10" s="20">
        <f t="shared" si="13"/>
        <v>0.33888888888888874</v>
      </c>
      <c r="X10" s="21">
        <f t="shared" si="0"/>
        <v>14.233333333333325</v>
      </c>
      <c r="Y10" s="21">
        <f t="shared" si="22"/>
        <v>11.200185086545606</v>
      </c>
      <c r="Z10" s="19">
        <f t="shared" si="1"/>
        <v>0</v>
      </c>
      <c r="AA10" s="22">
        <f t="shared" si="23"/>
        <v>0</v>
      </c>
      <c r="AB10" s="23">
        <f t="shared" si="24"/>
        <v>0.8</v>
      </c>
      <c r="AC10" s="23">
        <f>IF($Z10&gt;0,1,VLOOKUP($B$13,fw!$A$2:$B$8,2,FALSE))</f>
        <v>0.8</v>
      </c>
      <c r="AD10" s="23">
        <f t="shared" si="14"/>
        <v>0.8</v>
      </c>
      <c r="AE10" s="23">
        <f t="shared" si="2"/>
        <v>1</v>
      </c>
      <c r="AF10" s="23">
        <f t="shared" si="3"/>
        <v>0.18526479776767504</v>
      </c>
      <c r="AG10" s="23">
        <f t="shared" si="15"/>
        <v>1</v>
      </c>
      <c r="AH10" s="23">
        <f t="shared" si="4"/>
        <v>1.2352647977676749</v>
      </c>
      <c r="AI10" s="23">
        <f t="shared" si="16"/>
        <v>0.98821183821414005</v>
      </c>
      <c r="AJ10" s="23">
        <f t="shared" si="17"/>
        <v>1.1734766359818152</v>
      </c>
      <c r="AK10" s="32">
        <f t="shared" si="18"/>
        <v>6.6339038134285104</v>
      </c>
      <c r="AL10" s="36">
        <f t="shared" si="19"/>
        <v>0</v>
      </c>
      <c r="AM10" s="33">
        <f t="shared" si="20"/>
        <v>17.834088899974116</v>
      </c>
    </row>
    <row r="11" spans="1:40" x14ac:dyDescent="0.25">
      <c r="A11" s="59" t="s">
        <v>219</v>
      </c>
      <c r="B11" s="13">
        <v>0.05</v>
      </c>
      <c r="C11" s="62" t="s">
        <v>7</v>
      </c>
      <c r="E11" s="71" t="s">
        <v>64</v>
      </c>
      <c r="F11" s="14">
        <v>22</v>
      </c>
      <c r="G11" s="14">
        <v>14</v>
      </c>
      <c r="H11" s="14">
        <v>0</v>
      </c>
      <c r="I11" s="14">
        <v>23</v>
      </c>
      <c r="J11" s="15">
        <v>62</v>
      </c>
      <c r="L11" s="71" t="s">
        <v>64</v>
      </c>
      <c r="M11" s="21">
        <v>9</v>
      </c>
      <c r="N11" s="21">
        <f t="shared" si="21"/>
        <v>343</v>
      </c>
      <c r="O11" s="45">
        <f t="shared" si="5"/>
        <v>0.44802601898694444</v>
      </c>
      <c r="P11" s="45">
        <f t="shared" si="6"/>
        <v>1.0306616665763046</v>
      </c>
      <c r="Q11" s="45">
        <f t="shared" si="7"/>
        <v>-0.40101567968929847</v>
      </c>
      <c r="R11" s="45">
        <f t="shared" si="8"/>
        <v>1.36557921377866</v>
      </c>
      <c r="S11" s="45">
        <f t="shared" si="9"/>
        <v>-0.16909621087347085</v>
      </c>
      <c r="T11" s="45">
        <f t="shared" si="10"/>
        <v>0.82979900661010919</v>
      </c>
      <c r="U11" s="45">
        <f t="shared" si="11"/>
        <v>22.525376062187952</v>
      </c>
      <c r="V11" s="19">
        <f t="shared" si="12"/>
        <v>5.2459954120316725</v>
      </c>
      <c r="W11" s="20">
        <f t="shared" si="13"/>
        <v>0.34444444444444428</v>
      </c>
      <c r="X11" s="21">
        <f t="shared" si="0"/>
        <v>14.466666666666658</v>
      </c>
      <c r="Y11" s="21">
        <f t="shared" si="22"/>
        <v>17.834088899974116</v>
      </c>
      <c r="Z11" s="19">
        <f t="shared" si="1"/>
        <v>0</v>
      </c>
      <c r="AA11" s="22">
        <f t="shared" si="23"/>
        <v>14.466666666666658</v>
      </c>
      <c r="AB11" s="23">
        <f t="shared" si="24"/>
        <v>0.8</v>
      </c>
      <c r="AC11" s="23">
        <f>IF($Z11&gt;0,1,VLOOKUP($B$13,fw!$A$2:$B$8,2,FALSE))</f>
        <v>0.8</v>
      </c>
      <c r="AD11" s="23">
        <f t="shared" si="14"/>
        <v>0.8</v>
      </c>
      <c r="AE11" s="23">
        <f t="shared" si="2"/>
        <v>0.65084331682295904</v>
      </c>
      <c r="AF11" s="23">
        <f t="shared" si="3"/>
        <v>0.18149107402131867</v>
      </c>
      <c r="AG11" s="23">
        <f t="shared" si="15"/>
        <v>1</v>
      </c>
      <c r="AH11" s="23">
        <f t="shared" si="4"/>
        <v>1.2314910740213187</v>
      </c>
      <c r="AI11" s="23">
        <f t="shared" si="16"/>
        <v>0.98519285921705502</v>
      </c>
      <c r="AJ11" s="23">
        <f t="shared" si="17"/>
        <v>1.1666839332383736</v>
      </c>
      <c r="AK11" s="32">
        <f t="shared" si="18"/>
        <v>6.1204185610595738</v>
      </c>
      <c r="AL11" s="36">
        <f t="shared" si="19"/>
        <v>0</v>
      </c>
      <c r="AM11" s="33">
        <f t="shared" si="20"/>
        <v>9.4878407943670311</v>
      </c>
    </row>
    <row r="12" spans="1:40" x14ac:dyDescent="0.25">
      <c r="A12" s="59" t="s">
        <v>213</v>
      </c>
      <c r="B12" s="12" t="s">
        <v>40</v>
      </c>
      <c r="C12" s="62" t="s">
        <v>55</v>
      </c>
      <c r="E12" s="72" t="s">
        <v>65</v>
      </c>
      <c r="F12" s="16">
        <v>24</v>
      </c>
      <c r="G12" s="16">
        <v>15</v>
      </c>
      <c r="H12" s="16">
        <v>0</v>
      </c>
      <c r="I12" s="16">
        <v>22</v>
      </c>
      <c r="J12" s="17">
        <v>74</v>
      </c>
      <c r="L12" s="72" t="s">
        <v>65</v>
      </c>
      <c r="M12" s="28">
        <v>10</v>
      </c>
      <c r="N12" s="28">
        <f t="shared" si="21"/>
        <v>344</v>
      </c>
      <c r="O12" s="46">
        <f t="shared" si="5"/>
        <v>0.44802601898694444</v>
      </c>
      <c r="P12" s="46">
        <f t="shared" si="6"/>
        <v>1.0308671423273339</v>
      </c>
      <c r="Q12" s="46">
        <f t="shared" si="7"/>
        <v>-0.40234056815416047</v>
      </c>
      <c r="R12" s="46">
        <f t="shared" si="8"/>
        <v>1.3648113762766185</v>
      </c>
      <c r="S12" s="46">
        <f t="shared" si="9"/>
        <v>-0.16962445473972276</v>
      </c>
      <c r="T12" s="46">
        <f t="shared" si="10"/>
        <v>0.82933214654869447</v>
      </c>
      <c r="U12" s="46">
        <f t="shared" si="11"/>
        <v>22.484216654354881</v>
      </c>
      <c r="V12" s="47">
        <f t="shared" si="12"/>
        <v>5.7867628403313152</v>
      </c>
      <c r="W12" s="25">
        <f>$B$15</f>
        <v>0.35</v>
      </c>
      <c r="X12" s="28">
        <f t="shared" si="0"/>
        <v>14.699999999999996</v>
      </c>
      <c r="Y12" s="28">
        <f t="shared" si="22"/>
        <v>9.4878407943670311</v>
      </c>
      <c r="Z12" s="24">
        <f t="shared" si="1"/>
        <v>0</v>
      </c>
      <c r="AA12" s="26">
        <f t="shared" si="23"/>
        <v>0</v>
      </c>
      <c r="AB12" s="27">
        <f t="shared" si="24"/>
        <v>0.8</v>
      </c>
      <c r="AC12" s="23">
        <f>IF($Z12&gt;0,1,VLOOKUP($B$13,fw!$A$2:$B$8,2,FALSE))</f>
        <v>0.8</v>
      </c>
      <c r="AD12" s="27">
        <f t="shared" si="14"/>
        <v>0.8</v>
      </c>
      <c r="AE12" s="27">
        <f t="shared" si="2"/>
        <v>1</v>
      </c>
      <c r="AF12" s="23">
        <f t="shared" si="3"/>
        <v>0.16418399615009807</v>
      </c>
      <c r="AG12" s="27">
        <f t="shared" si="15"/>
        <v>2.4318411265937812E-3</v>
      </c>
      <c r="AH12" s="27">
        <f t="shared" si="4"/>
        <v>1.214183996150098</v>
      </c>
      <c r="AI12" s="27">
        <f t="shared" si="16"/>
        <v>2.5534331829234697E-3</v>
      </c>
      <c r="AJ12" s="27">
        <f t="shared" si="17"/>
        <v>0.16673742933302155</v>
      </c>
      <c r="AK12" s="34">
        <f t="shared" si="18"/>
        <v>0.96486996015669768</v>
      </c>
      <c r="AL12" s="37">
        <f t="shared" si="19"/>
        <v>0</v>
      </c>
      <c r="AM12" s="35">
        <f t="shared" si="20"/>
        <v>10.452710754523729</v>
      </c>
    </row>
    <row r="13" spans="1:40" s="8" customFormat="1" x14ac:dyDescent="0.25">
      <c r="A13" s="59" t="s">
        <v>214</v>
      </c>
      <c r="B13" s="12" t="s">
        <v>35</v>
      </c>
      <c r="C13" s="62" t="s">
        <v>55</v>
      </c>
      <c r="D13" s="9"/>
      <c r="E13" s="9"/>
      <c r="F13" s="9"/>
      <c r="G13" s="9"/>
      <c r="H13" s="9"/>
      <c r="I13" s="9"/>
      <c r="J13" s="9"/>
      <c r="K13" s="9"/>
      <c r="L13" s="9"/>
      <c r="M13" s="97" t="s">
        <v>0</v>
      </c>
      <c r="N13" s="48" t="s">
        <v>204</v>
      </c>
      <c r="O13" s="48" t="s">
        <v>205</v>
      </c>
      <c r="P13" s="48" t="s">
        <v>206</v>
      </c>
      <c r="Q13" s="48" t="s">
        <v>207</v>
      </c>
      <c r="R13" s="48" t="s">
        <v>208</v>
      </c>
      <c r="S13" s="48" t="s">
        <v>209</v>
      </c>
      <c r="T13" s="48" t="s">
        <v>210</v>
      </c>
      <c r="U13" s="48" t="s">
        <v>202</v>
      </c>
      <c r="V13" s="5" t="s">
        <v>25</v>
      </c>
      <c r="W13" s="6" t="s">
        <v>1</v>
      </c>
      <c r="X13" s="48" t="s">
        <v>2</v>
      </c>
      <c r="Y13" s="48" t="s">
        <v>10</v>
      </c>
      <c r="Z13" s="48" t="s">
        <v>24</v>
      </c>
      <c r="AA13" s="7"/>
      <c r="AB13" s="40" t="s">
        <v>15</v>
      </c>
      <c r="AC13" s="40" t="s">
        <v>16</v>
      </c>
      <c r="AD13" s="40" t="s">
        <v>17</v>
      </c>
      <c r="AE13" s="40" t="s">
        <v>3</v>
      </c>
      <c r="AF13" s="41" t="s">
        <v>4</v>
      </c>
      <c r="AG13" s="41" t="s">
        <v>14</v>
      </c>
      <c r="AH13" s="41" t="s">
        <v>19</v>
      </c>
      <c r="AI13" s="41" t="s">
        <v>5</v>
      </c>
      <c r="AJ13" s="41" t="s">
        <v>6</v>
      </c>
      <c r="AK13" s="42" t="s">
        <v>18</v>
      </c>
      <c r="AL13" s="39"/>
      <c r="AM13" s="40" t="s">
        <v>11</v>
      </c>
      <c r="AN13" s="11"/>
    </row>
    <row r="14" spans="1:40" s="8" customFormat="1" ht="15" customHeight="1" x14ac:dyDescent="0.25">
      <c r="A14" s="60" t="s">
        <v>220</v>
      </c>
      <c r="B14" s="13">
        <v>0.3</v>
      </c>
      <c r="C14" s="62" t="s">
        <v>7</v>
      </c>
      <c r="D14" s="9"/>
      <c r="E14" s="98" t="s">
        <v>196</v>
      </c>
      <c r="F14" s="98"/>
      <c r="G14" s="98"/>
      <c r="H14" s="98"/>
      <c r="I14" s="98"/>
      <c r="J14" s="98"/>
      <c r="K14" s="9"/>
      <c r="L14" s="9"/>
      <c r="M14" s="97"/>
      <c r="N14" s="48"/>
      <c r="O14" s="48"/>
      <c r="P14" s="48"/>
      <c r="Q14" s="48"/>
      <c r="R14" s="48"/>
      <c r="S14" s="48"/>
      <c r="T14" s="48"/>
      <c r="U14" s="48"/>
      <c r="V14" s="5" t="s">
        <v>12</v>
      </c>
      <c r="W14" s="6" t="s">
        <v>7</v>
      </c>
      <c r="X14" s="48" t="s">
        <v>8</v>
      </c>
      <c r="Y14" s="48" t="s">
        <v>8</v>
      </c>
      <c r="Z14" s="48" t="s">
        <v>8</v>
      </c>
      <c r="AA14" s="7"/>
      <c r="AB14" s="9"/>
      <c r="AC14" s="9"/>
      <c r="AD14" s="9"/>
      <c r="AE14" s="9"/>
      <c r="AF14" s="43"/>
      <c r="AG14" s="43"/>
      <c r="AH14" s="43"/>
      <c r="AI14" s="41"/>
      <c r="AJ14" s="41"/>
      <c r="AK14" s="42" t="s">
        <v>8</v>
      </c>
      <c r="AL14" s="39"/>
      <c r="AM14" s="40" t="s">
        <v>8</v>
      </c>
      <c r="AN14" s="11"/>
    </row>
    <row r="15" spans="1:40" x14ac:dyDescent="0.25">
      <c r="A15" s="60" t="s">
        <v>221</v>
      </c>
      <c r="B15" s="13">
        <v>0.35</v>
      </c>
      <c r="C15" s="62" t="s">
        <v>7</v>
      </c>
      <c r="E15" s="65" t="s">
        <v>222</v>
      </c>
      <c r="F15" s="44"/>
      <c r="G15" s="44"/>
      <c r="H15" s="44"/>
      <c r="I15" s="44"/>
      <c r="J15" s="44"/>
      <c r="AM15" s="3"/>
    </row>
    <row r="16" spans="1:40" x14ac:dyDescent="0.25">
      <c r="A16" s="61" t="s">
        <v>232</v>
      </c>
      <c r="B16" s="50">
        <v>0.1</v>
      </c>
      <c r="C16" s="63" t="s">
        <v>7</v>
      </c>
      <c r="E16" s="66" t="s">
        <v>223</v>
      </c>
      <c r="F16" s="44"/>
      <c r="G16" s="44"/>
      <c r="H16" s="44"/>
      <c r="I16" s="44"/>
      <c r="J16" s="44"/>
      <c r="AM16" s="3"/>
    </row>
    <row r="17" spans="1:40" x14ac:dyDescent="0.25">
      <c r="A17" s="80" t="s">
        <v>237</v>
      </c>
      <c r="B17" s="81"/>
      <c r="C17" s="82"/>
      <c r="E17" s="65" t="s">
        <v>224</v>
      </c>
      <c r="F17" s="44"/>
      <c r="G17" s="44"/>
      <c r="H17" s="44"/>
      <c r="I17" s="44"/>
      <c r="J17" s="44"/>
      <c r="AM17" s="3"/>
    </row>
    <row r="18" spans="1:40" x14ac:dyDescent="0.25">
      <c r="A18" s="51" t="s">
        <v>21</v>
      </c>
      <c r="B18" s="52">
        <f>VLOOKUP($B$12,texture!$A$1:$B$99,2,FALSE)</f>
        <v>0.12</v>
      </c>
      <c r="C18" s="53" t="s">
        <v>23</v>
      </c>
      <c r="E18" s="65" t="s">
        <v>225</v>
      </c>
      <c r="F18" s="44"/>
      <c r="G18" s="44"/>
      <c r="H18" s="44"/>
      <c r="I18" s="44"/>
      <c r="J18" s="44"/>
      <c r="AM18" s="3"/>
    </row>
    <row r="19" spans="1:40" x14ac:dyDescent="0.25">
      <c r="A19" s="51" t="s">
        <v>22</v>
      </c>
      <c r="B19" s="52">
        <f>VLOOKUP($B$12,texture!$A$1:$C$99,3,FALSE)</f>
        <v>0.05</v>
      </c>
      <c r="C19" s="53" t="s">
        <v>23</v>
      </c>
      <c r="E19" s="65" t="s">
        <v>226</v>
      </c>
      <c r="F19" s="44"/>
      <c r="G19" s="44"/>
      <c r="H19" s="44"/>
      <c r="I19" s="44"/>
      <c r="J19" s="44"/>
      <c r="AM19" s="3"/>
    </row>
    <row r="20" spans="1:40" x14ac:dyDescent="0.25">
      <c r="A20" s="51" t="s">
        <v>50</v>
      </c>
      <c r="B20" s="54">
        <f>1000*($B$18-$B$19)*$B$14</f>
        <v>20.999999999999996</v>
      </c>
      <c r="C20" s="53" t="s">
        <v>8</v>
      </c>
      <c r="E20" s="65" t="s">
        <v>227</v>
      </c>
      <c r="F20" s="44"/>
      <c r="G20" s="44"/>
      <c r="H20" s="44"/>
      <c r="I20" s="44"/>
      <c r="J20" s="44"/>
      <c r="AM20" s="3"/>
    </row>
    <row r="21" spans="1:40" x14ac:dyDescent="0.25">
      <c r="A21" s="51" t="s">
        <v>2</v>
      </c>
      <c r="B21" s="55">
        <f>B20*0.6</f>
        <v>12.599999999999998</v>
      </c>
      <c r="C21" s="53" t="s">
        <v>8</v>
      </c>
      <c r="E21" s="65" t="s">
        <v>228</v>
      </c>
      <c r="F21" s="44"/>
      <c r="G21" s="44"/>
      <c r="H21" s="44"/>
      <c r="I21" s="44"/>
      <c r="J21" s="44"/>
      <c r="AM21" s="3"/>
    </row>
    <row r="22" spans="1:40" x14ac:dyDescent="0.25">
      <c r="A22" s="51" t="s">
        <v>51</v>
      </c>
      <c r="B22" s="54">
        <f>1000*($B$18-$B$19*0.5)*$B$16</f>
        <v>9.5</v>
      </c>
      <c r="C22" s="53" t="s">
        <v>8</v>
      </c>
      <c r="E22" s="65" t="s">
        <v>229</v>
      </c>
      <c r="F22" s="44"/>
      <c r="G22" s="44"/>
      <c r="H22" s="44"/>
      <c r="I22" s="44"/>
      <c r="J22" s="44"/>
    </row>
    <row r="23" spans="1:40" s="1" customFormat="1" x14ac:dyDescent="0.25">
      <c r="A23" s="51" t="s">
        <v>52</v>
      </c>
      <c r="B23" s="54">
        <f>VLOOKUP($B$12,texture!$A$1:$D$100,4,FALSE)</f>
        <v>4.5</v>
      </c>
      <c r="C23" s="53" t="s">
        <v>8</v>
      </c>
      <c r="D23" s="2"/>
      <c r="E23" s="65" t="s">
        <v>230</v>
      </c>
      <c r="F23" s="44"/>
      <c r="G23" s="44"/>
      <c r="H23" s="44"/>
      <c r="I23" s="44"/>
      <c r="J23" s="44"/>
      <c r="AM23"/>
      <c r="AN23" s="4"/>
    </row>
    <row r="24" spans="1:40" s="1" customFormat="1" x14ac:dyDescent="0.25">
      <c r="A24" s="51" t="s">
        <v>20</v>
      </c>
      <c r="B24" s="52">
        <v>0.6</v>
      </c>
      <c r="C24" s="53" t="s">
        <v>55</v>
      </c>
      <c r="D24" s="2"/>
      <c r="E24" s="2" t="s">
        <v>233</v>
      </c>
      <c r="F24" s="44"/>
      <c r="G24" s="44"/>
      <c r="H24" s="44"/>
      <c r="I24" s="44"/>
      <c r="J24" s="44"/>
      <c r="AM24"/>
      <c r="AN24" s="4"/>
    </row>
    <row r="25" spans="1:40" x14ac:dyDescent="0.25">
      <c r="A25" s="56" t="s">
        <v>192</v>
      </c>
      <c r="B25" s="57">
        <f>VLOOKUP($B$9,kcb!$A$2:$D$115,IF($B$10="Initial Stage",2,IF($B$10="Crop Development Stage",3,IF($B$10="Mid Season Stage",3,IF($B$10="Late Season Stage",4,3)))),FALSE)</f>
        <v>0.15</v>
      </c>
      <c r="C25" s="58" t="s">
        <v>55</v>
      </c>
      <c r="E25" s="65" t="s">
        <v>234</v>
      </c>
      <c r="F25" s="44"/>
      <c r="G25" s="44"/>
      <c r="H25" s="44"/>
      <c r="I25" s="44"/>
      <c r="J25" s="44"/>
    </row>
    <row r="26" spans="1:40" x14ac:dyDescent="0.25">
      <c r="E26" s="65" t="s">
        <v>235</v>
      </c>
      <c r="F26" s="44"/>
      <c r="G26" s="44"/>
      <c r="H26" s="44"/>
      <c r="I26" s="44"/>
      <c r="J26" s="44"/>
    </row>
    <row r="27" spans="1:40" x14ac:dyDescent="0.25">
      <c r="E27" s="67" t="s">
        <v>236</v>
      </c>
      <c r="F27" s="44"/>
      <c r="G27" s="44"/>
      <c r="H27" s="44"/>
      <c r="I27" s="44"/>
      <c r="J27" s="44"/>
    </row>
  </sheetData>
  <mergeCells count="12">
    <mergeCell ref="A17:C17"/>
    <mergeCell ref="A1:C1"/>
    <mergeCell ref="E1:J1"/>
    <mergeCell ref="L1:AL1"/>
    <mergeCell ref="B2:C2"/>
    <mergeCell ref="B3:C3"/>
    <mergeCell ref="B4:C4"/>
    <mergeCell ref="A5:C5"/>
    <mergeCell ref="B6:C6"/>
    <mergeCell ref="A7:C7"/>
    <mergeCell ref="M13:M14"/>
    <mergeCell ref="E14:J1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fw!$A$2:$A$8</xm:f>
          </x14:formula1>
          <xm:sqref>B13</xm:sqref>
        </x14:dataValidation>
        <x14:dataValidation type="list" allowBlank="1" showInputMessage="1" showErrorMessage="1">
          <x14:formula1>
            <xm:f>'1-fc'!$A$2:$A$5</xm:f>
          </x14:formula1>
          <xm:sqref>B10</xm:sqref>
        </x14:dataValidation>
        <x14:dataValidation type="list" allowBlank="1" showInputMessage="1" showErrorMessage="1">
          <x14:formula1>
            <xm:f>texture!$A$2:$A$10</xm:f>
          </x14:formula1>
          <xm:sqref>B12</xm:sqref>
        </x14:dataValidation>
        <x14:dataValidation type="list" allowBlank="1" showInputMessage="1" showErrorMessage="1">
          <x14:formula1>
            <xm:f>kcb!$A$2:$A$115</xm:f>
          </x14:formula1>
          <xm:sqref>B9</xm:sqref>
        </x14:dataValidation>
        <x14:dataValidation type="list" allowBlank="1" showInputMessage="1" showErrorMessage="1">
          <x14:formula1>
            <xm:f>region!$A$2:$A$5</xm:f>
          </x14:formula1>
          <xm:sqref>B4:C4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 x14ac:dyDescent="0.25"/>
  <cols>
    <col min="1" max="1" width="13.28515625" style="8" bestFit="1" customWidth="1"/>
    <col min="2" max="2" width="13.42578125" bestFit="1" customWidth="1"/>
    <col min="3" max="3" width="12.5703125" bestFit="1" customWidth="1"/>
  </cols>
  <sheetData>
    <row r="1" spans="1:4" x14ac:dyDescent="0.25">
      <c r="A1" s="8" t="s">
        <v>39</v>
      </c>
      <c r="B1" s="8" t="s">
        <v>21</v>
      </c>
      <c r="C1" s="8" t="s">
        <v>22</v>
      </c>
      <c r="D1" s="8" t="s">
        <v>52</v>
      </c>
    </row>
    <row r="2" spans="1:4" x14ac:dyDescent="0.25">
      <c r="A2" s="8" t="s">
        <v>40</v>
      </c>
      <c r="B2">
        <v>0.12</v>
      </c>
      <c r="C2">
        <v>0.05</v>
      </c>
      <c r="D2" s="1">
        <v>4.5</v>
      </c>
    </row>
    <row r="3" spans="1:4" x14ac:dyDescent="0.25">
      <c r="A3" s="8" t="s">
        <v>41</v>
      </c>
      <c r="B3">
        <v>0.15</v>
      </c>
      <c r="C3">
        <v>7.0000000000000007E-2</v>
      </c>
      <c r="D3" s="1">
        <v>6</v>
      </c>
    </row>
    <row r="4" spans="1:4" x14ac:dyDescent="0.25">
      <c r="A4" s="8" t="s">
        <v>53</v>
      </c>
      <c r="B4">
        <v>0.23</v>
      </c>
      <c r="C4">
        <v>0.11</v>
      </c>
      <c r="D4" s="1">
        <v>8</v>
      </c>
    </row>
    <row r="5" spans="1:4" x14ac:dyDescent="0.25">
      <c r="A5" s="8" t="s">
        <v>42</v>
      </c>
      <c r="B5">
        <v>0.25</v>
      </c>
      <c r="C5">
        <v>0.12</v>
      </c>
      <c r="D5" s="1">
        <v>9</v>
      </c>
    </row>
    <row r="6" spans="1:4" x14ac:dyDescent="0.25">
      <c r="A6" s="8" t="s">
        <v>43</v>
      </c>
      <c r="B6">
        <v>0.28999999999999998</v>
      </c>
      <c r="C6">
        <v>0.15</v>
      </c>
      <c r="D6" s="1">
        <v>10</v>
      </c>
    </row>
    <row r="7" spans="1:4" x14ac:dyDescent="0.25">
      <c r="A7" s="8" t="s">
        <v>44</v>
      </c>
      <c r="B7">
        <v>0.32</v>
      </c>
      <c r="C7">
        <v>0.18</v>
      </c>
      <c r="D7" s="1">
        <v>10</v>
      </c>
    </row>
    <row r="8" spans="1:4" x14ac:dyDescent="0.25">
      <c r="A8" s="8" t="s">
        <v>45</v>
      </c>
      <c r="B8">
        <v>0.34</v>
      </c>
      <c r="C8">
        <v>0.21</v>
      </c>
      <c r="D8" s="1">
        <v>10</v>
      </c>
    </row>
    <row r="9" spans="1:4" x14ac:dyDescent="0.25">
      <c r="A9" s="8" t="s">
        <v>46</v>
      </c>
      <c r="B9">
        <v>0.36</v>
      </c>
      <c r="C9">
        <v>0.23</v>
      </c>
      <c r="D9" s="1">
        <v>11</v>
      </c>
    </row>
    <row r="10" spans="1:4" x14ac:dyDescent="0.25">
      <c r="A10" s="8" t="s">
        <v>47</v>
      </c>
      <c r="B10">
        <v>0.36</v>
      </c>
      <c r="C10">
        <v>0.22</v>
      </c>
      <c r="D10" s="1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/>
  </sheetViews>
  <sheetFormatPr defaultRowHeight="15" x14ac:dyDescent="0.25"/>
  <cols>
    <col min="1" max="1" width="60.140625" bestFit="1" customWidth="1"/>
    <col min="2" max="4" width="9.140625" style="3"/>
  </cols>
  <sheetData>
    <row r="1" spans="1:4" x14ac:dyDescent="0.25">
      <c r="A1" t="s">
        <v>74</v>
      </c>
      <c r="B1" s="3" t="s">
        <v>75</v>
      </c>
      <c r="C1" s="3" t="s">
        <v>76</v>
      </c>
      <c r="D1" s="3" t="s">
        <v>77</v>
      </c>
    </row>
    <row r="2" spans="1:4" x14ac:dyDescent="0.25">
      <c r="A2" t="s">
        <v>78</v>
      </c>
      <c r="B2" s="3">
        <v>0.15</v>
      </c>
      <c r="C2" s="3">
        <v>0.95</v>
      </c>
      <c r="D2" s="3">
        <v>0.85</v>
      </c>
    </row>
    <row r="3" spans="1:4" x14ac:dyDescent="0.25">
      <c r="A3" t="s">
        <v>79</v>
      </c>
      <c r="B3" s="3">
        <v>0.15</v>
      </c>
      <c r="C3" s="3">
        <v>0.95</v>
      </c>
      <c r="D3" s="3">
        <v>0.85</v>
      </c>
    </row>
    <row r="4" spans="1:4" x14ac:dyDescent="0.25">
      <c r="A4" t="s">
        <v>80</v>
      </c>
      <c r="B4" s="3">
        <v>0.15</v>
      </c>
      <c r="C4" s="3">
        <v>0.95</v>
      </c>
      <c r="D4" s="3">
        <v>0.85</v>
      </c>
    </row>
    <row r="5" spans="1:4" x14ac:dyDescent="0.25">
      <c r="A5" t="s">
        <v>81</v>
      </c>
      <c r="B5" s="3">
        <v>0.15</v>
      </c>
      <c r="C5" s="3">
        <v>0.95</v>
      </c>
      <c r="D5" s="3">
        <v>0.85</v>
      </c>
    </row>
    <row r="6" spans="1:4" x14ac:dyDescent="0.25">
      <c r="A6" t="s">
        <v>82</v>
      </c>
      <c r="B6" s="3">
        <v>0.15</v>
      </c>
      <c r="C6" s="3">
        <v>0.95</v>
      </c>
      <c r="D6" s="3">
        <v>0.85</v>
      </c>
    </row>
    <row r="7" spans="1:4" x14ac:dyDescent="0.25">
      <c r="A7" t="s">
        <v>83</v>
      </c>
      <c r="B7" s="3">
        <v>0.15</v>
      </c>
      <c r="C7" s="3">
        <v>0.95</v>
      </c>
      <c r="D7" s="3">
        <v>0.9</v>
      </c>
    </row>
    <row r="8" spans="1:4" x14ac:dyDescent="0.25">
      <c r="A8" t="s">
        <v>84</v>
      </c>
      <c r="B8" s="3">
        <v>0.15</v>
      </c>
      <c r="C8" s="3">
        <v>0.9</v>
      </c>
      <c r="D8" s="3">
        <v>0.6</v>
      </c>
    </row>
    <row r="9" spans="1:4" x14ac:dyDescent="0.25">
      <c r="A9" t="s">
        <v>85</v>
      </c>
      <c r="B9" s="3">
        <v>0.15</v>
      </c>
      <c r="C9" s="3">
        <v>0.9</v>
      </c>
      <c r="D9" s="3">
        <v>0.9</v>
      </c>
    </row>
    <row r="10" spans="1:4" x14ac:dyDescent="0.25">
      <c r="A10" t="s">
        <v>87</v>
      </c>
      <c r="B10" s="3">
        <v>0.15</v>
      </c>
      <c r="C10" s="3">
        <v>0.95</v>
      </c>
      <c r="D10" s="3">
        <v>0.65</v>
      </c>
    </row>
    <row r="11" spans="1:4" x14ac:dyDescent="0.25">
      <c r="A11" t="s">
        <v>86</v>
      </c>
      <c r="B11" s="3">
        <v>0.15</v>
      </c>
      <c r="C11" s="3">
        <v>0.9</v>
      </c>
      <c r="D11" s="3">
        <v>0.9</v>
      </c>
    </row>
    <row r="12" spans="1:4" x14ac:dyDescent="0.25">
      <c r="A12" t="s">
        <v>88</v>
      </c>
      <c r="B12" s="3">
        <v>0.15</v>
      </c>
      <c r="C12" s="3">
        <v>1.05</v>
      </c>
      <c r="D12" s="3">
        <v>0.7</v>
      </c>
    </row>
    <row r="13" spans="1:4" x14ac:dyDescent="0.25">
      <c r="A13" t="s">
        <v>89</v>
      </c>
      <c r="B13" s="3">
        <v>0.15</v>
      </c>
      <c r="C13" s="3">
        <v>0.9</v>
      </c>
      <c r="D13" s="3">
        <v>0.85</v>
      </c>
    </row>
    <row r="14" spans="1:4" x14ac:dyDescent="0.25">
      <c r="A14" t="s">
        <v>90</v>
      </c>
      <c r="B14" s="3">
        <v>0.15</v>
      </c>
      <c r="C14" s="3">
        <v>0.85</v>
      </c>
      <c r="D14" s="3">
        <v>0.75</v>
      </c>
    </row>
    <row r="15" spans="1:4" x14ac:dyDescent="0.25">
      <c r="A15" t="s">
        <v>91</v>
      </c>
      <c r="B15" s="3">
        <v>0.15</v>
      </c>
      <c r="C15" s="3">
        <v>1</v>
      </c>
      <c r="D15" s="3">
        <v>0.8</v>
      </c>
    </row>
    <row r="16" spans="1:4" x14ac:dyDescent="0.25">
      <c r="A16" t="s">
        <v>92</v>
      </c>
      <c r="B16" s="3">
        <v>0.15</v>
      </c>
      <c r="C16" s="3">
        <v>1</v>
      </c>
      <c r="D16" s="3">
        <v>0.8</v>
      </c>
    </row>
    <row r="17" spans="1:4" x14ac:dyDescent="0.25">
      <c r="A17" t="s">
        <v>93</v>
      </c>
      <c r="B17" s="3">
        <v>0.15</v>
      </c>
      <c r="C17" s="3">
        <v>1.1000000000000001</v>
      </c>
      <c r="D17" s="3">
        <v>0.8</v>
      </c>
    </row>
    <row r="18" spans="1:4" x14ac:dyDescent="0.25">
      <c r="A18" t="s">
        <v>94</v>
      </c>
      <c r="B18" s="3">
        <v>0.15</v>
      </c>
      <c r="C18" s="3">
        <v>0.75</v>
      </c>
      <c r="D18" s="3">
        <v>0.5</v>
      </c>
    </row>
    <row r="19" spans="1:4" x14ac:dyDescent="0.25">
      <c r="A19" t="s">
        <v>95</v>
      </c>
      <c r="B19" s="3">
        <v>0.15</v>
      </c>
      <c r="C19" s="3">
        <v>0.95</v>
      </c>
      <c r="D19" s="3">
        <v>0.7</v>
      </c>
    </row>
    <row r="20" spans="1:4" x14ac:dyDescent="0.25">
      <c r="A20" t="s">
        <v>96</v>
      </c>
      <c r="B20" s="3">
        <v>0.15</v>
      </c>
      <c r="C20" s="3">
        <v>0.95</v>
      </c>
      <c r="D20" s="3">
        <v>0.8</v>
      </c>
    </row>
    <row r="21" spans="1:4" x14ac:dyDescent="0.25">
      <c r="A21" t="s">
        <v>97</v>
      </c>
      <c r="B21" s="3">
        <v>0.15</v>
      </c>
      <c r="C21" s="3">
        <v>0.95</v>
      </c>
      <c r="D21" s="3">
        <v>0.7</v>
      </c>
    </row>
    <row r="22" spans="1:4" x14ac:dyDescent="0.25">
      <c r="A22" t="s">
        <v>99</v>
      </c>
      <c r="B22" s="3">
        <v>0.15</v>
      </c>
      <c r="C22" s="3">
        <v>0.9</v>
      </c>
      <c r="D22" s="3">
        <v>0.7</v>
      </c>
    </row>
    <row r="23" spans="1:4" x14ac:dyDescent="0.25">
      <c r="A23" t="s">
        <v>98</v>
      </c>
      <c r="B23" s="3">
        <v>0.15</v>
      </c>
      <c r="C23" s="3">
        <v>1</v>
      </c>
      <c r="D23" s="3">
        <v>0.7</v>
      </c>
    </row>
    <row r="24" spans="1:4" x14ac:dyDescent="0.25">
      <c r="A24" t="s">
        <v>100</v>
      </c>
      <c r="B24" s="3">
        <v>0.15</v>
      </c>
      <c r="C24" s="3">
        <v>0.95</v>
      </c>
      <c r="D24" s="3">
        <v>0.7</v>
      </c>
    </row>
    <row r="25" spans="1:4" x14ac:dyDescent="0.25">
      <c r="A25" t="s">
        <v>101</v>
      </c>
      <c r="B25" s="3">
        <v>0.15</v>
      </c>
      <c r="C25" s="3">
        <v>0.95</v>
      </c>
      <c r="D25" s="3">
        <v>0.85</v>
      </c>
    </row>
    <row r="26" spans="1:4" x14ac:dyDescent="0.25">
      <c r="A26" t="s">
        <v>102</v>
      </c>
      <c r="B26" s="3">
        <v>0.15</v>
      </c>
      <c r="C26" s="3">
        <v>0.7</v>
      </c>
      <c r="D26" s="3">
        <v>0.2</v>
      </c>
    </row>
    <row r="27" spans="1:4" x14ac:dyDescent="0.25">
      <c r="A27" t="s">
        <v>103</v>
      </c>
      <c r="B27" s="3">
        <v>0.15</v>
      </c>
      <c r="C27" s="3">
        <v>1</v>
      </c>
      <c r="D27" s="3">
        <v>0.45</v>
      </c>
    </row>
    <row r="28" spans="1:4" x14ac:dyDescent="0.25">
      <c r="A28" t="s">
        <v>104</v>
      </c>
      <c r="B28" s="3">
        <v>0.15</v>
      </c>
      <c r="C28" s="3">
        <v>0.95</v>
      </c>
      <c r="D28" s="3">
        <v>0.85</v>
      </c>
    </row>
    <row r="29" spans="1:4" x14ac:dyDescent="0.25">
      <c r="A29" t="s">
        <v>105</v>
      </c>
      <c r="B29" s="3">
        <v>0.15</v>
      </c>
      <c r="C29" s="3">
        <v>1.1000000000000001</v>
      </c>
      <c r="D29" s="3">
        <v>0.65</v>
      </c>
    </row>
    <row r="30" spans="1:4" x14ac:dyDescent="0.25">
      <c r="A30" t="s">
        <v>106</v>
      </c>
      <c r="B30" s="3">
        <v>0.15</v>
      </c>
      <c r="C30" s="3">
        <v>1.1000000000000001</v>
      </c>
      <c r="D30" s="3">
        <v>0.55000000000000004</v>
      </c>
    </row>
    <row r="31" spans="1:4" x14ac:dyDescent="0.25">
      <c r="A31" t="s">
        <v>107</v>
      </c>
      <c r="B31" s="3">
        <v>0.15</v>
      </c>
      <c r="C31" s="3">
        <v>1</v>
      </c>
      <c r="D31" s="3">
        <v>0.85</v>
      </c>
    </row>
    <row r="32" spans="1:4" x14ac:dyDescent="0.25">
      <c r="A32" t="s">
        <v>108</v>
      </c>
      <c r="B32" s="3">
        <v>0.15</v>
      </c>
      <c r="C32" s="3">
        <v>1.1499999999999999</v>
      </c>
      <c r="D32" s="3">
        <v>0.5</v>
      </c>
    </row>
    <row r="33" spans="1:4" x14ac:dyDescent="0.25">
      <c r="A33" t="s">
        <v>109</v>
      </c>
      <c r="B33" s="3">
        <v>0.15</v>
      </c>
      <c r="C33" s="3">
        <v>1</v>
      </c>
      <c r="D33" s="3">
        <v>0.8</v>
      </c>
    </row>
    <row r="34" spans="1:4" x14ac:dyDescent="0.25">
      <c r="A34" t="s">
        <v>110</v>
      </c>
      <c r="B34" s="3">
        <v>0.15</v>
      </c>
      <c r="C34" s="3">
        <v>1.1000000000000001</v>
      </c>
      <c r="D34" s="3">
        <v>0.25</v>
      </c>
    </row>
    <row r="35" spans="1:4" x14ac:dyDescent="0.25">
      <c r="A35" t="s">
        <v>111</v>
      </c>
      <c r="B35" s="3">
        <v>0.15</v>
      </c>
      <c r="C35" s="3">
        <v>0.95</v>
      </c>
      <c r="D35" s="3">
        <v>0.25</v>
      </c>
    </row>
    <row r="36" spans="1:4" x14ac:dyDescent="0.25">
      <c r="A36" t="s">
        <v>112</v>
      </c>
      <c r="B36" s="3">
        <v>0.15</v>
      </c>
      <c r="C36" s="3">
        <v>1.1000000000000001</v>
      </c>
      <c r="D36" s="3">
        <v>1.05</v>
      </c>
    </row>
    <row r="37" spans="1:4" x14ac:dyDescent="0.25">
      <c r="A37" t="s">
        <v>113</v>
      </c>
      <c r="B37" s="3">
        <v>0.15</v>
      </c>
      <c r="C37" s="3">
        <v>1.1000000000000001</v>
      </c>
      <c r="D37" s="3">
        <v>0.2</v>
      </c>
    </row>
    <row r="38" spans="1:4" x14ac:dyDescent="0.25">
      <c r="A38" t="s">
        <v>114</v>
      </c>
      <c r="B38" s="3">
        <v>0.15</v>
      </c>
      <c r="C38" s="3">
        <v>1.05</v>
      </c>
      <c r="D38" s="3">
        <v>0.25</v>
      </c>
    </row>
    <row r="39" spans="1:4" x14ac:dyDescent="0.25">
      <c r="A39" t="s">
        <v>115</v>
      </c>
      <c r="B39" s="3">
        <v>0.15</v>
      </c>
      <c r="C39" s="3">
        <v>1</v>
      </c>
      <c r="D39" s="3">
        <v>0.55000000000000004</v>
      </c>
    </row>
    <row r="40" spans="1:4" x14ac:dyDescent="0.25">
      <c r="A40" t="s">
        <v>116</v>
      </c>
      <c r="B40" s="3">
        <v>0.15</v>
      </c>
      <c r="C40" s="3">
        <v>1.1000000000000001</v>
      </c>
      <c r="D40" s="3">
        <v>0.5</v>
      </c>
    </row>
    <row r="41" spans="1:4" x14ac:dyDescent="0.25">
      <c r="A41" t="s">
        <v>117</v>
      </c>
      <c r="B41" s="3">
        <v>0.15</v>
      </c>
      <c r="C41" s="3">
        <v>1.05</v>
      </c>
      <c r="D41" s="3">
        <v>0.2</v>
      </c>
    </row>
    <row r="42" spans="1:4" x14ac:dyDescent="0.25">
      <c r="A42" t="s">
        <v>118</v>
      </c>
      <c r="B42" s="3">
        <v>0.15</v>
      </c>
      <c r="C42" s="3">
        <v>1.1000000000000001</v>
      </c>
      <c r="D42" s="3">
        <v>1.05</v>
      </c>
    </row>
    <row r="43" spans="1:4" x14ac:dyDescent="0.25">
      <c r="A43" t="s">
        <v>119</v>
      </c>
      <c r="B43" s="3">
        <v>0.15</v>
      </c>
      <c r="C43" s="3">
        <v>1.1000000000000001</v>
      </c>
      <c r="D43" s="3">
        <v>0.2</v>
      </c>
    </row>
    <row r="44" spans="1:4" x14ac:dyDescent="0.25">
      <c r="A44" t="s">
        <v>120</v>
      </c>
      <c r="B44" s="3">
        <v>0.15</v>
      </c>
      <c r="C44" s="3">
        <v>1.1000000000000001</v>
      </c>
      <c r="D44" s="3">
        <v>0.3</v>
      </c>
    </row>
    <row r="45" spans="1:4" x14ac:dyDescent="0.25">
      <c r="A45" t="s">
        <v>121</v>
      </c>
      <c r="B45" s="3">
        <v>0.15</v>
      </c>
      <c r="C45" s="3">
        <v>0.95</v>
      </c>
      <c r="D45" s="3">
        <v>0.9</v>
      </c>
    </row>
    <row r="46" spans="1:4" x14ac:dyDescent="0.25">
      <c r="A46" t="s">
        <v>122</v>
      </c>
      <c r="B46" s="3">
        <v>0.15</v>
      </c>
      <c r="C46" s="3">
        <v>0.9</v>
      </c>
      <c r="D46" s="3">
        <v>0.2</v>
      </c>
    </row>
    <row r="47" spans="1:4" x14ac:dyDescent="0.25">
      <c r="A47" t="s">
        <v>123</v>
      </c>
      <c r="B47" s="3">
        <v>0.4</v>
      </c>
      <c r="C47" s="3">
        <v>1.1000000000000001</v>
      </c>
      <c r="D47" s="3">
        <v>1.05</v>
      </c>
    </row>
    <row r="48" spans="1:4" x14ac:dyDescent="0.25">
      <c r="A48" t="s">
        <v>124</v>
      </c>
      <c r="B48" s="3">
        <v>0.3</v>
      </c>
      <c r="C48" s="3">
        <v>0.8</v>
      </c>
      <c r="D48" s="3">
        <v>0.7</v>
      </c>
    </row>
    <row r="49" spans="1:4" x14ac:dyDescent="0.25">
      <c r="A49" t="s">
        <v>125</v>
      </c>
      <c r="B49" s="3">
        <v>0.15</v>
      </c>
      <c r="C49" s="3">
        <v>1.1499999999999999</v>
      </c>
      <c r="D49" s="3">
        <v>0.5</v>
      </c>
    </row>
    <row r="50" spans="1:4" x14ac:dyDescent="0.25">
      <c r="A50" t="s">
        <v>126</v>
      </c>
      <c r="B50" s="3">
        <v>0.15</v>
      </c>
      <c r="C50" s="3">
        <v>1.05</v>
      </c>
      <c r="D50" s="3">
        <v>0.2</v>
      </c>
    </row>
    <row r="51" spans="1:4" x14ac:dyDescent="0.25">
      <c r="A51" t="s">
        <v>127</v>
      </c>
      <c r="B51" s="3">
        <v>0.15</v>
      </c>
      <c r="C51" s="3">
        <v>0.7</v>
      </c>
      <c r="D51" s="3">
        <v>0.7</v>
      </c>
    </row>
    <row r="52" spans="1:4" x14ac:dyDescent="0.25">
      <c r="A52" t="s">
        <v>128</v>
      </c>
      <c r="B52" s="3">
        <v>0.15</v>
      </c>
      <c r="C52" s="3">
        <v>1.1000000000000001</v>
      </c>
      <c r="D52" s="3">
        <v>0.45</v>
      </c>
    </row>
    <row r="53" spans="1:4" x14ac:dyDescent="0.25">
      <c r="A53" t="s">
        <v>129</v>
      </c>
      <c r="B53" s="3">
        <v>0.15</v>
      </c>
      <c r="C53" s="3">
        <v>1.1000000000000001</v>
      </c>
      <c r="D53" s="3">
        <v>0.25</v>
      </c>
    </row>
    <row r="54" spans="1:4" x14ac:dyDescent="0.25">
      <c r="A54" t="s">
        <v>130</v>
      </c>
      <c r="B54" s="3">
        <v>0.15</v>
      </c>
      <c r="C54" s="3">
        <v>1.1000000000000001</v>
      </c>
      <c r="D54" s="3">
        <v>0.2</v>
      </c>
    </row>
    <row r="55" spans="1:4" x14ac:dyDescent="0.25">
      <c r="A55" t="s">
        <v>131</v>
      </c>
      <c r="B55" s="3">
        <v>0.15</v>
      </c>
      <c r="C55" s="3">
        <v>1.05</v>
      </c>
      <c r="D55" s="3">
        <v>0.2</v>
      </c>
    </row>
    <row r="56" spans="1:4" x14ac:dyDescent="0.25">
      <c r="A56" t="s">
        <v>132</v>
      </c>
      <c r="B56" s="3">
        <v>0.15</v>
      </c>
      <c r="C56" s="3">
        <v>1.1000000000000001</v>
      </c>
      <c r="D56" s="3">
        <v>0.25</v>
      </c>
    </row>
    <row r="57" spans="1:4" x14ac:dyDescent="0.25">
      <c r="A57" t="s">
        <v>133</v>
      </c>
      <c r="B57" s="3">
        <v>0.15</v>
      </c>
      <c r="C57" s="3">
        <v>1.1000000000000001</v>
      </c>
      <c r="D57" s="3">
        <v>0.15</v>
      </c>
    </row>
    <row r="58" spans="1:4" x14ac:dyDescent="0.25">
      <c r="A58" t="s">
        <v>134</v>
      </c>
      <c r="B58" s="3">
        <v>0.15</v>
      </c>
      <c r="C58" s="3">
        <v>1.1000000000000001</v>
      </c>
      <c r="D58" s="3">
        <v>0.15</v>
      </c>
    </row>
    <row r="59" spans="1:4" x14ac:dyDescent="0.25">
      <c r="A59" t="s">
        <v>135</v>
      </c>
      <c r="B59" s="3">
        <v>0.15</v>
      </c>
      <c r="C59" s="3">
        <v>1.1000000000000001</v>
      </c>
      <c r="D59" s="3">
        <v>0.3</v>
      </c>
    </row>
    <row r="60" spans="1:4" x14ac:dyDescent="0.25">
      <c r="A60" t="s">
        <v>136</v>
      </c>
      <c r="B60" s="3">
        <v>0.15</v>
      </c>
      <c r="C60" s="3">
        <v>1.1000000000000001</v>
      </c>
      <c r="D60" s="3">
        <v>0.3</v>
      </c>
    </row>
    <row r="61" spans="1:4" x14ac:dyDescent="0.25">
      <c r="A61" t="s">
        <v>137</v>
      </c>
      <c r="B61" s="3">
        <v>0.15</v>
      </c>
      <c r="C61" s="3">
        <v>1.1499999999999999</v>
      </c>
      <c r="D61" s="3">
        <v>0.5</v>
      </c>
    </row>
    <row r="62" spans="1:4" x14ac:dyDescent="0.25">
      <c r="A62" t="s">
        <v>138</v>
      </c>
      <c r="B62" s="3">
        <v>0.15</v>
      </c>
      <c r="C62" s="3">
        <v>1.1000000000000001</v>
      </c>
      <c r="D62" s="3">
        <v>1</v>
      </c>
    </row>
    <row r="63" spans="1:4" x14ac:dyDescent="0.25">
      <c r="A63" t="s">
        <v>139</v>
      </c>
      <c r="B63" s="3">
        <v>0.15</v>
      </c>
      <c r="C63" s="3">
        <v>0.95</v>
      </c>
      <c r="D63" s="3">
        <v>0.2</v>
      </c>
    </row>
    <row r="64" spans="1:4" x14ac:dyDescent="0.25">
      <c r="A64" t="s">
        <v>140</v>
      </c>
      <c r="B64" s="3">
        <v>0.15</v>
      </c>
      <c r="C64" s="3">
        <v>1.05</v>
      </c>
      <c r="D64" s="3">
        <v>0.35</v>
      </c>
    </row>
    <row r="65" spans="1:4" x14ac:dyDescent="0.25">
      <c r="A65" t="s">
        <v>141</v>
      </c>
      <c r="B65" s="3">
        <v>0.15</v>
      </c>
      <c r="C65" s="3">
        <v>1.1499999999999999</v>
      </c>
      <c r="D65" s="3">
        <v>1</v>
      </c>
    </row>
    <row r="66" spans="1:4" x14ac:dyDescent="0.25">
      <c r="A66" t="s">
        <v>142</v>
      </c>
      <c r="B66" s="3">
        <v>1</v>
      </c>
      <c r="C66" s="3">
        <v>1.1499999999999999</v>
      </c>
      <c r="D66" s="3">
        <v>0.7</v>
      </c>
    </row>
    <row r="67" spans="1:4" x14ac:dyDescent="0.25">
      <c r="A67" t="s">
        <v>143</v>
      </c>
      <c r="B67" s="3">
        <v>0.3</v>
      </c>
      <c r="C67" s="3">
        <v>1.1499999999999999</v>
      </c>
      <c r="D67" s="3">
        <v>1.1000000000000001</v>
      </c>
    </row>
    <row r="68" spans="1:4" x14ac:dyDescent="0.25">
      <c r="A68" t="s">
        <v>144</v>
      </c>
      <c r="B68" s="3">
        <v>0.3</v>
      </c>
      <c r="C68" s="3">
        <v>0.45</v>
      </c>
      <c r="D68" s="3">
        <v>0.45</v>
      </c>
    </row>
    <row r="69" spans="1:4" x14ac:dyDescent="0.25">
      <c r="A69" t="s">
        <v>182</v>
      </c>
      <c r="B69" s="3">
        <v>0.5</v>
      </c>
      <c r="C69" s="3">
        <v>0.95</v>
      </c>
      <c r="D69" s="3">
        <v>0.8</v>
      </c>
    </row>
    <row r="70" spans="1:4" x14ac:dyDescent="0.25">
      <c r="A70" t="s">
        <v>183</v>
      </c>
      <c r="B70" s="3">
        <v>0.15</v>
      </c>
      <c r="C70" s="3">
        <v>0.85</v>
      </c>
      <c r="D70" s="3">
        <v>0.6</v>
      </c>
    </row>
    <row r="71" spans="1:4" x14ac:dyDescent="0.25">
      <c r="A71" t="s">
        <v>145</v>
      </c>
      <c r="B71" s="3">
        <v>0.3</v>
      </c>
      <c r="C71" s="3">
        <v>1.1000000000000001</v>
      </c>
      <c r="D71" s="3">
        <v>1.05</v>
      </c>
    </row>
    <row r="72" spans="1:4" x14ac:dyDescent="0.25">
      <c r="A72" t="s">
        <v>146</v>
      </c>
      <c r="B72" s="3">
        <v>0.85</v>
      </c>
      <c r="C72" s="3">
        <v>1</v>
      </c>
      <c r="D72" s="3">
        <v>0.95</v>
      </c>
    </row>
    <row r="73" spans="1:4" x14ac:dyDescent="0.25">
      <c r="A73" t="s">
        <v>147</v>
      </c>
      <c r="B73" s="3">
        <v>0.3</v>
      </c>
      <c r="C73" s="3">
        <v>1.1000000000000001</v>
      </c>
      <c r="D73" s="3">
        <v>1.05</v>
      </c>
    </row>
    <row r="74" spans="1:4" x14ac:dyDescent="0.25">
      <c r="A74" t="s">
        <v>184</v>
      </c>
      <c r="B74" s="3">
        <v>0.3</v>
      </c>
      <c r="C74" s="3">
        <v>1</v>
      </c>
      <c r="D74" s="3">
        <v>0.8</v>
      </c>
    </row>
    <row r="75" spans="1:4" x14ac:dyDescent="0.25">
      <c r="A75" t="s">
        <v>185</v>
      </c>
      <c r="B75" s="3">
        <v>0.3</v>
      </c>
      <c r="C75" s="3">
        <v>0.7</v>
      </c>
      <c r="D75" s="3">
        <v>0.7</v>
      </c>
    </row>
    <row r="76" spans="1:4" x14ac:dyDescent="0.25">
      <c r="A76" t="s">
        <v>186</v>
      </c>
      <c r="B76" s="3">
        <v>0.85</v>
      </c>
      <c r="C76" s="3">
        <v>0.9</v>
      </c>
      <c r="D76" s="3">
        <v>0.9</v>
      </c>
    </row>
    <row r="77" spans="1:4" x14ac:dyDescent="0.25">
      <c r="A77" t="s">
        <v>187</v>
      </c>
      <c r="B77" s="3">
        <v>0.75</v>
      </c>
      <c r="C77" s="3">
        <v>0.8</v>
      </c>
      <c r="D77" s="3">
        <v>0.8</v>
      </c>
    </row>
    <row r="78" spans="1:4" x14ac:dyDescent="0.25">
      <c r="A78" t="s">
        <v>148</v>
      </c>
      <c r="B78" s="3">
        <v>0.15</v>
      </c>
      <c r="C78" s="3">
        <v>1.2</v>
      </c>
      <c r="D78" s="3">
        <v>0.7</v>
      </c>
    </row>
    <row r="79" spans="1:4" x14ac:dyDescent="0.25">
      <c r="A79" t="s">
        <v>188</v>
      </c>
      <c r="B79" s="3">
        <v>0.15</v>
      </c>
      <c r="C79" s="3">
        <v>1.05</v>
      </c>
      <c r="D79" s="3">
        <v>0.9</v>
      </c>
    </row>
    <row r="80" spans="1:4" x14ac:dyDescent="0.25">
      <c r="A80" t="s">
        <v>189</v>
      </c>
      <c r="B80" s="3">
        <v>0.6</v>
      </c>
      <c r="C80" s="3">
        <v>1.1000000000000001</v>
      </c>
      <c r="D80" s="3">
        <v>1.05</v>
      </c>
    </row>
    <row r="81" spans="1:4" x14ac:dyDescent="0.25">
      <c r="A81" t="s">
        <v>149</v>
      </c>
      <c r="B81" s="3">
        <v>0.9</v>
      </c>
      <c r="C81" s="3">
        <v>1</v>
      </c>
      <c r="D81" s="3">
        <v>1</v>
      </c>
    </row>
    <row r="82" spans="1:4" x14ac:dyDescent="0.25">
      <c r="A82" t="s">
        <v>150</v>
      </c>
      <c r="B82" s="3">
        <v>0.8</v>
      </c>
      <c r="C82" s="3">
        <v>0.9</v>
      </c>
      <c r="D82" s="3">
        <v>0.9</v>
      </c>
    </row>
    <row r="83" spans="1:4" x14ac:dyDescent="0.25">
      <c r="A83" t="s">
        <v>151</v>
      </c>
      <c r="B83" s="3">
        <v>1</v>
      </c>
      <c r="C83" s="3">
        <v>1.05</v>
      </c>
      <c r="D83" s="3">
        <v>1.05</v>
      </c>
    </row>
    <row r="84" spans="1:4" x14ac:dyDescent="0.25">
      <c r="A84" t="s">
        <v>152</v>
      </c>
      <c r="B84" s="3">
        <v>0.8</v>
      </c>
      <c r="C84" s="3">
        <v>0.85</v>
      </c>
      <c r="D84" s="3">
        <v>0.85</v>
      </c>
    </row>
    <row r="85" spans="1:4" x14ac:dyDescent="0.25">
      <c r="A85" t="s">
        <v>153</v>
      </c>
      <c r="B85" s="3">
        <v>0.85</v>
      </c>
      <c r="C85" s="3">
        <v>0.9</v>
      </c>
      <c r="D85" s="3">
        <v>0.9</v>
      </c>
    </row>
    <row r="86" spans="1:4" x14ac:dyDescent="0.25">
      <c r="A86" t="s">
        <v>190</v>
      </c>
      <c r="B86" s="3">
        <v>0.15</v>
      </c>
      <c r="C86" s="3">
        <v>0.25</v>
      </c>
      <c r="D86" s="3">
        <v>0.25</v>
      </c>
    </row>
    <row r="87" spans="1:4" x14ac:dyDescent="0.25">
      <c r="A87" t="s">
        <v>191</v>
      </c>
      <c r="B87" s="3">
        <v>0.3</v>
      </c>
      <c r="C87" s="3">
        <v>0.45</v>
      </c>
      <c r="D87" s="3">
        <v>0.45</v>
      </c>
    </row>
    <row r="88" spans="1:4" x14ac:dyDescent="0.25">
      <c r="A88" t="s">
        <v>154</v>
      </c>
      <c r="B88" s="3">
        <v>0.85</v>
      </c>
      <c r="C88" s="3">
        <v>0.9</v>
      </c>
      <c r="D88" s="3">
        <v>0.9</v>
      </c>
    </row>
    <row r="89" spans="1:4" x14ac:dyDescent="0.25">
      <c r="A89" t="s">
        <v>155</v>
      </c>
      <c r="B89" s="3">
        <v>0.9</v>
      </c>
      <c r="C89" s="3">
        <v>0.95</v>
      </c>
      <c r="D89" s="3">
        <v>0.9</v>
      </c>
    </row>
    <row r="90" spans="1:4" x14ac:dyDescent="0.25">
      <c r="A90" t="s">
        <v>156</v>
      </c>
      <c r="B90" s="3">
        <v>1</v>
      </c>
      <c r="C90" s="3">
        <v>1.1000000000000001</v>
      </c>
      <c r="D90" s="3">
        <v>1.05</v>
      </c>
    </row>
    <row r="91" spans="1:4" x14ac:dyDescent="0.25">
      <c r="A91" t="s">
        <v>157</v>
      </c>
      <c r="B91" s="3">
        <v>0.2</v>
      </c>
      <c r="C91" s="3">
        <v>1</v>
      </c>
      <c r="D91" s="3">
        <v>0.4</v>
      </c>
    </row>
    <row r="92" spans="1:4" x14ac:dyDescent="0.25">
      <c r="A92" t="s">
        <v>158</v>
      </c>
      <c r="B92" s="3">
        <v>0.15</v>
      </c>
      <c r="C92" s="3">
        <v>0.8</v>
      </c>
      <c r="D92" s="3">
        <v>0.4</v>
      </c>
    </row>
    <row r="93" spans="1:4" x14ac:dyDescent="0.25">
      <c r="A93" t="s">
        <v>159</v>
      </c>
      <c r="B93" s="3">
        <v>0.15</v>
      </c>
      <c r="C93" s="3">
        <v>0.65</v>
      </c>
      <c r="D93" s="3">
        <v>0.4</v>
      </c>
    </row>
    <row r="94" spans="1:4" x14ac:dyDescent="0.25">
      <c r="A94" t="s">
        <v>160</v>
      </c>
      <c r="B94" s="3">
        <v>0.15</v>
      </c>
      <c r="C94" s="3">
        <v>1</v>
      </c>
      <c r="D94" s="3">
        <v>0.8</v>
      </c>
    </row>
    <row r="95" spans="1:4" x14ac:dyDescent="0.25">
      <c r="A95" t="s">
        <v>161</v>
      </c>
      <c r="B95" s="3">
        <v>0.2</v>
      </c>
      <c r="C95" s="3">
        <v>0.85</v>
      </c>
      <c r="D95" s="3">
        <v>0.6</v>
      </c>
    </row>
    <row r="96" spans="1:4" x14ac:dyDescent="0.25">
      <c r="A96" t="s">
        <v>162</v>
      </c>
      <c r="B96" s="3">
        <v>0.35</v>
      </c>
      <c r="C96" s="3">
        <v>0.9</v>
      </c>
      <c r="D96" s="3">
        <v>0.65</v>
      </c>
    </row>
    <row r="97" spans="1:4" x14ac:dyDescent="0.25">
      <c r="A97" t="s">
        <v>163</v>
      </c>
      <c r="B97" s="3">
        <v>0.5</v>
      </c>
      <c r="C97" s="3">
        <v>0.9</v>
      </c>
      <c r="D97" s="3">
        <v>0.7</v>
      </c>
    </row>
    <row r="98" spans="1:4" x14ac:dyDescent="0.25">
      <c r="A98" t="s">
        <v>164</v>
      </c>
      <c r="B98" s="3">
        <v>0.45</v>
      </c>
      <c r="C98" s="3">
        <v>1.1499999999999999</v>
      </c>
      <c r="D98" s="3">
        <v>0.9</v>
      </c>
    </row>
    <row r="99" spans="1:4" x14ac:dyDescent="0.25">
      <c r="A99" t="s">
        <v>165</v>
      </c>
      <c r="B99" s="3">
        <v>0.75</v>
      </c>
      <c r="C99" s="3">
        <v>1.1499999999999999</v>
      </c>
      <c r="D99" s="3">
        <v>0.8</v>
      </c>
    </row>
    <row r="100" spans="1:4" x14ac:dyDescent="0.25">
      <c r="A100" t="s">
        <v>166</v>
      </c>
      <c r="B100" s="3">
        <v>0.35</v>
      </c>
      <c r="C100" s="3">
        <v>0.85</v>
      </c>
      <c r="D100" s="3">
        <v>0.6</v>
      </c>
    </row>
    <row r="101" spans="1:4" x14ac:dyDescent="0.25">
      <c r="A101" t="s">
        <v>167</v>
      </c>
      <c r="B101" s="3">
        <v>0.45</v>
      </c>
      <c r="C101" s="3">
        <v>0.85</v>
      </c>
      <c r="D101" s="3">
        <v>0.6</v>
      </c>
    </row>
    <row r="102" spans="1:4" x14ac:dyDescent="0.25">
      <c r="A102" t="s">
        <v>168</v>
      </c>
      <c r="B102" s="3">
        <v>0.45</v>
      </c>
      <c r="C102" s="3">
        <v>1.1000000000000001</v>
      </c>
      <c r="D102" s="3">
        <v>0.85</v>
      </c>
    </row>
    <row r="103" spans="1:4" x14ac:dyDescent="0.25">
      <c r="A103" t="s">
        <v>169</v>
      </c>
      <c r="B103" s="3">
        <v>0.75</v>
      </c>
      <c r="C103" s="3">
        <v>1.1000000000000001</v>
      </c>
      <c r="D103" s="3">
        <v>0.8</v>
      </c>
    </row>
    <row r="104" spans="1:4" x14ac:dyDescent="0.25">
      <c r="A104" t="s">
        <v>170</v>
      </c>
      <c r="B104" s="3">
        <v>0.5</v>
      </c>
      <c r="C104" s="3">
        <v>0.8</v>
      </c>
      <c r="D104" s="3">
        <v>0.7</v>
      </c>
    </row>
    <row r="105" spans="1:4" x14ac:dyDescent="0.25">
      <c r="A105" t="s">
        <v>171</v>
      </c>
      <c r="B105" s="3">
        <v>0.65</v>
      </c>
      <c r="C105" s="3">
        <v>0.6</v>
      </c>
      <c r="D105" s="3">
        <v>0.65</v>
      </c>
    </row>
    <row r="106" spans="1:4" x14ac:dyDescent="0.25">
      <c r="A106" t="s">
        <v>172</v>
      </c>
      <c r="B106" s="3">
        <v>0.6</v>
      </c>
      <c r="C106" s="3">
        <v>0.55000000000000004</v>
      </c>
      <c r="D106" s="3">
        <v>0.6</v>
      </c>
    </row>
    <row r="107" spans="1:4" x14ac:dyDescent="0.25">
      <c r="A107" t="s">
        <v>173</v>
      </c>
      <c r="B107" s="3">
        <v>0.45</v>
      </c>
      <c r="C107" s="3">
        <v>0.4</v>
      </c>
      <c r="D107" s="3">
        <v>0.5</v>
      </c>
    </row>
    <row r="108" spans="1:4" x14ac:dyDescent="0.25">
      <c r="A108" t="s">
        <v>174</v>
      </c>
      <c r="B108" s="3">
        <v>0.75</v>
      </c>
      <c r="C108" s="3">
        <v>0.7</v>
      </c>
      <c r="D108" s="3">
        <v>0.75</v>
      </c>
    </row>
    <row r="109" spans="1:4" x14ac:dyDescent="0.25">
      <c r="A109" t="s">
        <v>175</v>
      </c>
      <c r="B109" s="3">
        <v>0.75</v>
      </c>
      <c r="C109" s="3">
        <v>0.75</v>
      </c>
      <c r="D109" s="3">
        <v>0.75</v>
      </c>
    </row>
    <row r="110" spans="1:4" x14ac:dyDescent="0.25">
      <c r="A110" t="s">
        <v>176</v>
      </c>
      <c r="B110" s="3">
        <v>0.8</v>
      </c>
      <c r="C110" s="3">
        <v>0.8</v>
      </c>
      <c r="D110" s="3">
        <v>0.85</v>
      </c>
    </row>
    <row r="111" spans="1:4" x14ac:dyDescent="0.25">
      <c r="A111" t="s">
        <v>177</v>
      </c>
      <c r="B111" s="3">
        <v>0.95</v>
      </c>
      <c r="C111" s="3">
        <v>0.95</v>
      </c>
      <c r="D111" s="3">
        <v>0.95</v>
      </c>
    </row>
    <row r="112" spans="1:4" x14ac:dyDescent="0.25">
      <c r="A112" t="s">
        <v>178</v>
      </c>
      <c r="B112" s="3">
        <v>0.2</v>
      </c>
      <c r="C112" s="3">
        <v>1</v>
      </c>
      <c r="D112" s="3">
        <v>1</v>
      </c>
    </row>
    <row r="113" spans="1:4" x14ac:dyDescent="0.25">
      <c r="A113" t="s">
        <v>179</v>
      </c>
      <c r="B113" s="3">
        <v>0.55000000000000004</v>
      </c>
      <c r="C113" s="3">
        <v>0.65</v>
      </c>
      <c r="D113" s="3">
        <v>0.65</v>
      </c>
    </row>
    <row r="114" spans="1:4" x14ac:dyDescent="0.25">
      <c r="A114" t="s">
        <v>180</v>
      </c>
      <c r="B114" s="3">
        <v>0.2</v>
      </c>
      <c r="C114" s="3">
        <v>1.05</v>
      </c>
      <c r="D114" s="3">
        <v>0.4</v>
      </c>
    </row>
    <row r="115" spans="1:4" x14ac:dyDescent="0.25">
      <c r="A115" t="s">
        <v>181</v>
      </c>
      <c r="B115" s="3">
        <v>0.4</v>
      </c>
      <c r="C115" s="3">
        <v>1.05</v>
      </c>
      <c r="D115" s="3">
        <v>0.6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5" x14ac:dyDescent="0.25"/>
  <cols>
    <col min="1" max="1" width="23.42578125" bestFit="1" customWidth="1"/>
  </cols>
  <sheetData>
    <row r="1" spans="1:2" x14ac:dyDescent="0.25">
      <c r="A1" t="s">
        <v>27</v>
      </c>
      <c r="B1" t="s">
        <v>15</v>
      </c>
    </row>
    <row r="2" spans="1:2" x14ac:dyDescent="0.25">
      <c r="A2" t="s">
        <v>28</v>
      </c>
      <c r="B2">
        <v>0.8</v>
      </c>
    </row>
    <row r="3" spans="1:2" x14ac:dyDescent="0.25">
      <c r="A3" t="s">
        <v>29</v>
      </c>
      <c r="B3">
        <v>0.55000000000000004</v>
      </c>
    </row>
    <row r="4" spans="1:2" x14ac:dyDescent="0.25">
      <c r="A4" t="s">
        <v>30</v>
      </c>
      <c r="B4">
        <v>0.1</v>
      </c>
    </row>
    <row r="5" spans="1:2" x14ac:dyDescent="0.25">
      <c r="A5" t="s">
        <v>31</v>
      </c>
      <c r="B5">
        <v>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"/>
    </sheetView>
  </sheetViews>
  <sheetFormatPr defaultRowHeight="15" x14ac:dyDescent="0.25"/>
  <cols>
    <col min="1" max="1" width="19" bestFit="1" customWidth="1"/>
  </cols>
  <sheetData>
    <row r="1" spans="1:2" x14ac:dyDescent="0.25">
      <c r="A1" t="s">
        <v>26</v>
      </c>
      <c r="B1" t="s">
        <v>16</v>
      </c>
    </row>
    <row r="2" spans="1:2" x14ac:dyDescent="0.25">
      <c r="A2" t="s">
        <v>32</v>
      </c>
      <c r="B2">
        <v>1</v>
      </c>
    </row>
    <row r="3" spans="1:2" x14ac:dyDescent="0.25">
      <c r="A3" t="s">
        <v>33</v>
      </c>
      <c r="B3">
        <v>1</v>
      </c>
    </row>
    <row r="4" spans="1:2" x14ac:dyDescent="0.25">
      <c r="A4" t="s">
        <v>34</v>
      </c>
      <c r="B4">
        <v>1</v>
      </c>
    </row>
    <row r="5" spans="1:2" x14ac:dyDescent="0.25">
      <c r="A5" t="s">
        <v>35</v>
      </c>
      <c r="B5">
        <v>0.8</v>
      </c>
    </row>
    <row r="6" spans="1:2" x14ac:dyDescent="0.25">
      <c r="A6" t="s">
        <v>36</v>
      </c>
      <c r="B6">
        <v>0.5</v>
      </c>
    </row>
    <row r="7" spans="1:2" x14ac:dyDescent="0.25">
      <c r="A7" t="s">
        <v>37</v>
      </c>
      <c r="B7">
        <v>0.4</v>
      </c>
    </row>
    <row r="8" spans="1:2" x14ac:dyDescent="0.25">
      <c r="A8" t="s">
        <v>38</v>
      </c>
      <c r="B8">
        <v>0.35</v>
      </c>
    </row>
    <row r="10" spans="1:2" x14ac:dyDescent="0.25">
      <c r="A10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RowHeight="15" x14ac:dyDescent="0.25"/>
  <cols>
    <col min="1" max="1" width="7.5703125" style="8" bestFit="1" customWidth="1"/>
    <col min="2" max="2" width="9.85546875" bestFit="1" customWidth="1"/>
  </cols>
  <sheetData>
    <row r="1" spans="1:2" s="8" customFormat="1" x14ac:dyDescent="0.25">
      <c r="A1" s="8" t="s">
        <v>197</v>
      </c>
      <c r="B1" s="8" t="s">
        <v>69</v>
      </c>
    </row>
    <row r="2" spans="1:2" x14ac:dyDescent="0.25">
      <c r="A2" s="8" t="s">
        <v>198</v>
      </c>
      <c r="B2">
        <v>75</v>
      </c>
    </row>
    <row r="3" spans="1:2" x14ac:dyDescent="0.25">
      <c r="A3" s="8" t="s">
        <v>199</v>
      </c>
      <c r="B3">
        <v>90</v>
      </c>
    </row>
    <row r="4" spans="1:2" x14ac:dyDescent="0.25">
      <c r="A4" s="8" t="s">
        <v>200</v>
      </c>
      <c r="B4">
        <v>105</v>
      </c>
    </row>
    <row r="5" spans="1:2" x14ac:dyDescent="0.25">
      <c r="A5" s="8" t="s">
        <v>201</v>
      </c>
      <c r="B5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Template</vt:lpstr>
      <vt:lpstr>Example_Template_1</vt:lpstr>
      <vt:lpstr>Example_Template_2</vt:lpstr>
      <vt:lpstr>texture</vt:lpstr>
      <vt:lpstr>kcb</vt:lpstr>
      <vt:lpstr>1-fc</vt:lpstr>
      <vt:lpstr>fw</vt:lpstr>
      <vt:lpstr>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2017-08-05T15:29:45Z</dcterms:created>
  <dcterms:modified xsi:type="dcterms:W3CDTF">2018-09-20T15:39:45Z</dcterms:modified>
</cp:coreProperties>
</file>